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9600" windowHeight="11640" tabRatio="743" firstSheet="11" activeTab="19"/>
  </bookViews>
  <sheets>
    <sheet name="л-м хвойных пород" sheetId="1" r:id="rId1"/>
    <sheet name="л-м мягколиственных пород" sheetId="2" r:id="rId2"/>
    <sheet name="л-м твёрдолиственных пород" sheetId="3" r:id="rId3"/>
    <sheet name="пиломатериалы из всех пород" sheetId="4" r:id="rId4"/>
    <sheet name="дрова из всех пород" sheetId="5" r:id="rId5"/>
    <sheet name="столярные изделия" sheetId="6" r:id="rId6"/>
    <sheet name="услуги" sheetId="7" r:id="rId7"/>
    <sheet name="услуги охотничьего хозяйства" sheetId="8" r:id="rId8"/>
    <sheet name="экскурсия по эко маршруту " sheetId="9" r:id="rId9"/>
    <sheet name="заготовки поддонов до 25 мм" sheetId="10" r:id="rId10"/>
    <sheet name="щепа топливная" sheetId="11" r:id="rId11"/>
    <sheet name="опилки древесные" sheetId="12" r:id="rId12"/>
    <sheet name="л-м сорт ABCD" sheetId="13" r:id="rId13"/>
    <sheet name="л-м сорт D (дуб)" sheetId="14" r:id="rId14"/>
    <sheet name="заготовки поддонов свыше 25 мм" sheetId="15" r:id="rId15"/>
    <sheet name="сок берёзовый натуральный" sheetId="16" r:id="rId16"/>
    <sheet name="деревья новогодние" sheetId="17" r:id="rId17"/>
    <sheet name="балансы" sheetId="18" r:id="rId18"/>
    <sheet name="пм сухие строганные" sheetId="19" r:id="rId19"/>
    <sheet name="пм сухие" sheetId="20" r:id="rId20"/>
  </sheets>
  <externalReferences>
    <externalReference r:id="rId23"/>
    <externalReference r:id="rId24"/>
    <externalReference r:id="rId25"/>
  </externalReferences>
  <definedNames>
    <definedName name="_xlnm.Print_Area" localSheetId="17">'балансы'!$A$1:$G$25</definedName>
    <definedName name="_xlnm.Print_Area" localSheetId="4">'дрова из всех пород'!$A$1:$M$27</definedName>
    <definedName name="_xlnm.Print_Area" localSheetId="9">'заготовки поддонов до 25 мм'!$A$1:$I$28</definedName>
    <definedName name="_xlnm.Print_Area" localSheetId="14">'заготовки поддонов свыше 25 мм'!$A$1:$I$28</definedName>
    <definedName name="_xlnm.Print_Area" localSheetId="1">'л-м мягколиственных пород'!$B$1:$J$62</definedName>
    <definedName name="_xlnm.Print_Area" localSheetId="2">'л-м твёрдолиственных пород'!$A$1:$I$50</definedName>
    <definedName name="_xlnm.Print_Area" localSheetId="0">'л-м хвойных пород'!$A$1:$J$57</definedName>
    <definedName name="_xlnm.Print_Area" localSheetId="11">'опилки древесные'!$A$1:$G$25</definedName>
    <definedName name="_xlnm.Print_Area" localSheetId="3">'пиломатериалы из всех пород'!$A$1:$I$71</definedName>
    <definedName name="_xlnm.Print_Area" localSheetId="19">'пм сухие'!$A$1:$I$34</definedName>
    <definedName name="_xlnm.Print_Area" localSheetId="18">'пм сухие строганные'!$A$1:$I$40</definedName>
    <definedName name="_xlnm.Print_Area" localSheetId="5">'столярные изделия'!$A$1:$J$42</definedName>
    <definedName name="_xlnm.Print_Area" localSheetId="6">'услуги'!$A$1:$J$46</definedName>
    <definedName name="_xlnm.Print_Area" localSheetId="7">'услуги охотничьего хозяйства'!$A$1:$E$30</definedName>
    <definedName name="_xlnm.Print_Area" localSheetId="10">'щепа топливная'!$A$1:$G$25</definedName>
  </definedNames>
  <calcPr fullCalcOnLoad="1"/>
</workbook>
</file>

<file path=xl/sharedStrings.xml><?xml version="1.0" encoding="utf-8"?>
<sst xmlns="http://schemas.openxmlformats.org/spreadsheetml/2006/main" count="1750" uniqueCount="370">
  <si>
    <t>№ п/п</t>
  </si>
  <si>
    <t>Длина, м</t>
  </si>
  <si>
    <t>Толщина, см</t>
  </si>
  <si>
    <t>10-13</t>
  </si>
  <si>
    <t>14-18</t>
  </si>
  <si>
    <t>20-24</t>
  </si>
  <si>
    <t>26 и более</t>
  </si>
  <si>
    <t>6-18</t>
  </si>
  <si>
    <t>(сосна, ель, пихта, лиственница)</t>
  </si>
  <si>
    <t>5. Лесоматериалы для использования в круглом виде</t>
  </si>
  <si>
    <t>6-24</t>
  </si>
  <si>
    <t>6-13</t>
  </si>
  <si>
    <t>(осина, ольха серая, тополь)</t>
  </si>
  <si>
    <t>14 и более</t>
  </si>
  <si>
    <t>24 и более</t>
  </si>
  <si>
    <t>16-24</t>
  </si>
  <si>
    <t>(осина)</t>
  </si>
  <si>
    <t>(береза и все мягколиственные породы)</t>
  </si>
  <si>
    <t>6-40</t>
  </si>
  <si>
    <t>8-11</t>
  </si>
  <si>
    <t>14-24</t>
  </si>
  <si>
    <t>26-34</t>
  </si>
  <si>
    <t>36 и более</t>
  </si>
  <si>
    <t>24-34</t>
  </si>
  <si>
    <t>3. Лесоматериалы для использования в круглом виде</t>
  </si>
  <si>
    <t>3-5</t>
  </si>
  <si>
    <t>3-7</t>
  </si>
  <si>
    <t>ГОСТ 4106-74</t>
  </si>
  <si>
    <t>ТУ РБ 100195503.014-2003</t>
  </si>
  <si>
    <t>3,0-6,5</t>
  </si>
  <si>
    <t>2,0-6,0</t>
  </si>
  <si>
    <t>не менее 2,5</t>
  </si>
  <si>
    <t>не менее 1,5</t>
  </si>
  <si>
    <t>не менее 2,0</t>
  </si>
  <si>
    <t>не менее 3,0</t>
  </si>
  <si>
    <t>1,0-6,0</t>
  </si>
  <si>
    <t>0,5-6,5</t>
  </si>
  <si>
    <t>от 0,4</t>
  </si>
  <si>
    <t>Наименование продукции</t>
  </si>
  <si>
    <t>Сорт</t>
  </si>
  <si>
    <t>Толщина, мм</t>
  </si>
  <si>
    <t>32-40</t>
  </si>
  <si>
    <t>15-20</t>
  </si>
  <si>
    <t>21-25</t>
  </si>
  <si>
    <t>3-4</t>
  </si>
  <si>
    <t>Оконный блок с 2-я рамами, СТБ939-93</t>
  </si>
  <si>
    <t>Оконная рама, СТБ939-93</t>
  </si>
  <si>
    <t>Оконная коробка, СТБ939-93</t>
  </si>
  <si>
    <t>Дверное полотно, ГОСТ 475-78</t>
  </si>
  <si>
    <t>Дверная коробка, ГОСТ 475-78</t>
  </si>
  <si>
    <t>Столик журнальный</t>
  </si>
  <si>
    <t>шт.</t>
  </si>
  <si>
    <t>Табуретка</t>
  </si>
  <si>
    <t>Стол кухонный</t>
  </si>
  <si>
    <t>Штапик</t>
  </si>
  <si>
    <t>тыс.м.п.</t>
  </si>
  <si>
    <t>Дрань штукатурная</t>
  </si>
  <si>
    <t>тыс. шт.</t>
  </si>
  <si>
    <t>Бревна оцилиндрованные</t>
  </si>
  <si>
    <t>Порода</t>
  </si>
  <si>
    <t>Оконный блок с 1-ой рамой, СТБ939-93</t>
  </si>
  <si>
    <t>Доска пола срощенная, СТБ 1074-2009</t>
  </si>
  <si>
    <t>2,0-6,5</t>
  </si>
  <si>
    <t>Услуги бани за 1 час</t>
  </si>
  <si>
    <t>Услуги снегохода за 1 час</t>
  </si>
  <si>
    <t>Стоимость зачетно-практического занятия</t>
  </si>
  <si>
    <t>6. Сырье древесное технологическое (техсырье)</t>
  </si>
  <si>
    <t>4. Лесоматериалы для использования в круглом виде</t>
  </si>
  <si>
    <t>ТУ РБ 100195503.010-2001</t>
  </si>
  <si>
    <t>Столбики дубовые</t>
  </si>
  <si>
    <t>Столбики сосновые</t>
  </si>
  <si>
    <t>м3</t>
  </si>
  <si>
    <t>Детали профильные</t>
  </si>
  <si>
    <t>ЗИЛ ММЗ</t>
  </si>
  <si>
    <t>Радиометрический анализ проб древесины</t>
  </si>
  <si>
    <t>Наименование услуги</t>
  </si>
  <si>
    <t>руб</t>
  </si>
  <si>
    <t>3</t>
  </si>
  <si>
    <t>4</t>
  </si>
  <si>
    <t>ПРЕЙСКУРАНТ № 9</t>
  </si>
  <si>
    <t xml:space="preserve">отпускных цен </t>
  </si>
  <si>
    <t>на проведение экскурсий по экологическому маршруту</t>
  </si>
  <si>
    <t>Наименование услуг</t>
  </si>
  <si>
    <t>Продолжительность</t>
  </si>
  <si>
    <t>Цена за 1 чел., в бел. рублях, без НДС</t>
  </si>
  <si>
    <t>Проведение экскурсии по экологическому маршруту (с использованием автомобиля)</t>
  </si>
  <si>
    <t>6 ч 55 мин</t>
  </si>
  <si>
    <t>3,12/ 1 час</t>
  </si>
  <si>
    <t>УТВЕРЖДАЮ</t>
  </si>
  <si>
    <t>Директор ГЛХУ "Лельчицкий лесхоз"</t>
  </si>
  <si>
    <t>А.Г.Ридецкий</t>
  </si>
  <si>
    <t>_____________________А.Г. Ридецкий</t>
  </si>
  <si>
    <t>Вводится 15 апреля 2019 г.</t>
  </si>
  <si>
    <t>Приказ №</t>
  </si>
  <si>
    <t>Прейскурант №1</t>
  </si>
  <si>
    <t>отпускных цен на лесоматериалы круглые (за исключением дров)</t>
  </si>
  <si>
    <t xml:space="preserve"> ЛЕСОМАТЕРИАЛЫ КРУГЛЫЕ ХВОЙНЫХ ПОРОД</t>
  </si>
  <si>
    <t>(СТБ 1711-2007 ГОСТ 17462-84)</t>
  </si>
  <si>
    <t>до деноминации</t>
  </si>
  <si>
    <t>цена за 1 м3, в бел.руб., без НДС</t>
  </si>
  <si>
    <t>ФПС</t>
  </si>
  <si>
    <t>ФНС</t>
  </si>
  <si>
    <t>ФВСОтправления</t>
  </si>
  <si>
    <t>1. Лесоматериалы для распиловки и строгания</t>
  </si>
  <si>
    <t>для выработки пиломатериалов и заготовок общего назначения (пиловочное бревно) (сосна, ель, лиственница, пихта)</t>
  </si>
  <si>
    <r>
      <t xml:space="preserve">для шпал железных дорог широкой колеи </t>
    </r>
    <r>
      <rPr>
        <b/>
        <i/>
        <u val="single"/>
        <sz val="12"/>
        <rFont val="Times New Roman"/>
        <family val="1"/>
      </rPr>
      <t>(шпальное бревно) (сосна, ель, пихта, лиственница)</t>
    </r>
  </si>
  <si>
    <t>2,75; 5,5</t>
  </si>
  <si>
    <t>1</t>
  </si>
  <si>
    <t>2</t>
  </si>
  <si>
    <t>для выработки пиломатериалов и заготовок для клепки сухотарных бочек и деталей ящиков (тарное бревно)</t>
  </si>
  <si>
    <t>13 и более</t>
  </si>
  <si>
    <t>2. Лесоматериалы для выработки оцилиндрованных изделий</t>
  </si>
  <si>
    <t>для выработки изделий различного назначения (сосна, ель)</t>
  </si>
  <si>
    <t>3. Лесоматериалы для выработки шпона</t>
  </si>
  <si>
    <t>для выработки строганого шпона (сосна, лиственница)</t>
  </si>
  <si>
    <t xml:space="preserve">         4. Лесоматериалы для выработки целлюлозы и древесной массы (балансы)</t>
  </si>
  <si>
    <t>0,75; 1; 1,1; 1,2; 1,25; 2 и кратные</t>
  </si>
  <si>
    <t xml:space="preserve"> для вспомогательных и временных построек различного назначения (подтоварник)</t>
  </si>
  <si>
    <t>Экономист                                                                                     О.В.Фомина</t>
  </si>
  <si>
    <t>Экономист</t>
  </si>
  <si>
    <t>М. В. Гвара</t>
  </si>
  <si>
    <t xml:space="preserve"> Директор ГЛХУ "Лельчицкий лесхоз"</t>
  </si>
  <si>
    <t>____________________А.Г. Ридецкий</t>
  </si>
  <si>
    <t>Вводится 2 января 2019 г.</t>
  </si>
  <si>
    <t>Прейскурант №2</t>
  </si>
  <si>
    <t xml:space="preserve"> ЛЕСОМАТЕРИАЛЫ КРУГЛЫЕ БЕРЕЗОВОЙ И МЯГКОЛИСТВЕННЫХ ПОРОД</t>
  </si>
  <si>
    <t>(СТБ 1712-2007 ГОСТ 17462-84)</t>
  </si>
  <si>
    <t>для выработки пиломатериалов и заготовок общего назначения (пиловочное бревно) (береза, ольха черная, ильмовые)</t>
  </si>
  <si>
    <t>2. Лесоматериалы для выработки  шпона</t>
  </si>
  <si>
    <t>для выработки строганого шпона (береза и все мягколиственные породы)</t>
  </si>
  <si>
    <t>для выработки лущеного шпона (фанерное бревно) (береза, липа, ольха)</t>
  </si>
  <si>
    <t>1,3; 1,6 и кратные</t>
  </si>
  <si>
    <t>для производства спичек (спичечное бревно)(осина, тополь,  липа, ольха)</t>
  </si>
  <si>
    <t xml:space="preserve">               3. Лесоматериалы для выработки целлюлозы и древесной массы (балансы)</t>
  </si>
  <si>
    <t>0,75; 1; 1,1; 1,2; 1,25; 2 и кратные им</t>
  </si>
  <si>
    <t>для вспомогательных и временных построек различного назначения (подтоварник)(береза, ольха черная, ильмовые)</t>
  </si>
  <si>
    <t>5. Сырье древесное технологическое (техсырье)</t>
  </si>
  <si>
    <t>Директор ГЛХУ "Лельчицкийй лесхоз"</t>
  </si>
  <si>
    <t>___________________А.Г.Ридецкий</t>
  </si>
  <si>
    <t>Прейскурант №3</t>
  </si>
  <si>
    <t>ЛЕСОМАТЕРИАЛЫ КРУГЛЫЕ ТВЕРДОЛИСТВЕННЫХ ПОРОД</t>
  </si>
  <si>
    <t>для выработки пиломатериалов и заготовок общего назначения (пиловочное бревно) (дуб, ясень, клен, граб)</t>
  </si>
  <si>
    <t>2. Лесоматериалы для выработки шпона</t>
  </si>
  <si>
    <t>для выработки строганого шпона (дуб, ясень, клен, граб)</t>
  </si>
  <si>
    <t xml:space="preserve">    для вспомогательных и временных построек различного назначения (подтоварник) (дуб, ясень, клен, граб)</t>
  </si>
  <si>
    <t>4. Сырье древесное для выработки дубильных экстрактов</t>
  </si>
  <si>
    <t>Дуб, ясень, клен, граб</t>
  </si>
  <si>
    <t>IV. ЖЕРДИ</t>
  </si>
  <si>
    <t>Сосна, ель, лиственница, пихта</t>
  </si>
  <si>
    <t>Береза, ольха черная, ильмовые</t>
  </si>
  <si>
    <t>Осина, ольха серая, тополь</t>
  </si>
  <si>
    <t>____________________А.Г.Ридецкий</t>
  </si>
  <si>
    <t>Прейскурант №4</t>
  </si>
  <si>
    <t>отпускных цен на пиломатериалы</t>
  </si>
  <si>
    <t>ПИЛОМАТЕРИАЛЫ</t>
  </si>
  <si>
    <t>(СТБ 1713-2007 ГОСТ 17462-84)</t>
  </si>
  <si>
    <t>Длина,м</t>
  </si>
  <si>
    <t>Толщина,мм</t>
  </si>
  <si>
    <t>реализуемые на условиях франко-нижний склад</t>
  </si>
  <si>
    <t>с ___ приказ №__ от _______г.(действующая)</t>
  </si>
  <si>
    <t>обрезные</t>
  </si>
  <si>
    <t>необрезные</t>
  </si>
  <si>
    <t>ПИЛОМАТЕРИАЛЫ ХВОЙНЫХ ПОРОД СТБ 1713-2007</t>
  </si>
  <si>
    <t>16.19.22</t>
  </si>
  <si>
    <t>25</t>
  </si>
  <si>
    <t>44 и б</t>
  </si>
  <si>
    <t>ПИЛОМАТЕРИАЛЫ ХВОЙНЫХ ПОРОД (БРУСОК)</t>
  </si>
  <si>
    <t>СТБ 1713-2007</t>
  </si>
  <si>
    <t>до 100</t>
  </si>
  <si>
    <t>ПИЛОМАТЕРИАЛЫ ХВОЙНЫХ ПОРОД (БРУС) СТБ 1713-2007</t>
  </si>
  <si>
    <t>100 и б</t>
  </si>
  <si>
    <t xml:space="preserve">ПИЛОМАТЕРИАЛЫ ТВЕРДОЛИСТВЕННЫХ ПОРОД </t>
  </si>
  <si>
    <t>СТБ 1714-2007</t>
  </si>
  <si>
    <t xml:space="preserve">ПИЛОМАТЕРИАЛЫ МЯГКОЛИСТВЕННЫХ ПОРОД </t>
  </si>
  <si>
    <t>Отходы деревообработки и лесопиления (отрезки пиломатериалов,заготовок)</t>
  </si>
  <si>
    <t>Горбыль деловой</t>
  </si>
  <si>
    <t>Стружка древесная</t>
  </si>
  <si>
    <t>М.В. Гвара</t>
  </si>
  <si>
    <t>Прейскурант №5</t>
  </si>
  <si>
    <t>отпускных цен на дрова  толщиной от 3 см</t>
  </si>
  <si>
    <t>ДРОВА СТБ 1510-2012</t>
  </si>
  <si>
    <t>Точность (окр)</t>
  </si>
  <si>
    <t>Цена с НДС</t>
  </si>
  <si>
    <t>Длина</t>
  </si>
  <si>
    <t>реализуемые на условиях</t>
  </si>
  <si>
    <t>ФЛ</t>
  </si>
  <si>
    <t>ФВC</t>
  </si>
  <si>
    <t>цена за 1 м3., в белорусских рублях руб., без учета  НДС</t>
  </si>
  <si>
    <t xml:space="preserve">Сосна, ольха </t>
  </si>
  <si>
    <t>1 метр</t>
  </si>
  <si>
    <t>2 метра</t>
  </si>
  <si>
    <t>7.24</t>
  </si>
  <si>
    <t>4 метра</t>
  </si>
  <si>
    <t>Береза,дуб,бук,</t>
  </si>
  <si>
    <t>8.46</t>
  </si>
  <si>
    <t xml:space="preserve">ясень, граб, </t>
  </si>
  <si>
    <t>8.26</t>
  </si>
  <si>
    <t>клен,лиственница</t>
  </si>
  <si>
    <t>8.06</t>
  </si>
  <si>
    <t xml:space="preserve">Ель, кедр, </t>
  </si>
  <si>
    <t>6.91</t>
  </si>
  <si>
    <t>осина, пихта,</t>
  </si>
  <si>
    <t>6.71</t>
  </si>
  <si>
    <t>липа, тополь,</t>
  </si>
  <si>
    <t>6.51</t>
  </si>
  <si>
    <t xml:space="preserve">Экономист                                                             </t>
  </si>
  <si>
    <t>Вводится 17 июня 2019 г.</t>
  </si>
  <si>
    <t>Прейскурант №7</t>
  </si>
  <si>
    <t>отпускных цен на</t>
  </si>
  <si>
    <t>УСЛУГИ</t>
  </si>
  <si>
    <t>№ п\п</t>
  </si>
  <si>
    <t>Ед.изм.</t>
  </si>
  <si>
    <t>цена в бел.руб., без НДС</t>
  </si>
  <si>
    <t>Распиловка 1м3 леса на обрезн. п/м</t>
  </si>
  <si>
    <t>руб/м3</t>
  </si>
  <si>
    <t>Распиловка 1м3 леса на необрезн. п/м</t>
  </si>
  <si>
    <t>Острожка 1м3 пиломатериалов</t>
  </si>
  <si>
    <t>Обрезка 1м3 пиломатериалов</t>
  </si>
  <si>
    <t>УСЛУГИ АВТОТРАНСПОРТА ЗА 1км ПРОБЕГА:</t>
  </si>
  <si>
    <t>МАЗ-631708-226</t>
  </si>
  <si>
    <t>руб/км</t>
  </si>
  <si>
    <t>ГАЗ-66</t>
  </si>
  <si>
    <t>АВТОБУС</t>
  </si>
  <si>
    <t>УСЛУГИ АВТОТРАНСПОРТА ЗА 1час :</t>
  </si>
  <si>
    <t>руб/ч</t>
  </si>
  <si>
    <t>УСЛУГИ АВТОТРАНСПОРТА ЗА 1т/км :</t>
  </si>
  <si>
    <t>Услуги тракторов МТЗ-80, МТЗ-82 за 1 час</t>
  </si>
  <si>
    <t>руб/час</t>
  </si>
  <si>
    <t>Услуги тракторов МПТ-461.1 за 1 час</t>
  </si>
  <si>
    <t>Услуги форвардера Амкадор 2661.01</t>
  </si>
  <si>
    <t>руб/м/час</t>
  </si>
  <si>
    <t>Услуги форвардера Амкадор 2631</t>
  </si>
  <si>
    <t>Услуги гужтранспорта за 1 час</t>
  </si>
  <si>
    <t>Складирование 1м3 отходов</t>
  </si>
  <si>
    <t>Механизированная трелевка древесины за 1 м3</t>
  </si>
  <si>
    <t>Конная трелевка древесины за 1м3</t>
  </si>
  <si>
    <t>Услуги по валке деревьев бензопилами за 1м3</t>
  </si>
  <si>
    <t>Услуги по раскряжевке древесины бензопилами за 1м3</t>
  </si>
  <si>
    <t>Услуги бензопилы за 1 час работы</t>
  </si>
  <si>
    <t>Услуги по погрузке древесины погрузчиком за 1м3</t>
  </si>
  <si>
    <t>Услуги по разгрузке древесины погрузчиком за 1м3</t>
  </si>
  <si>
    <t>Услуги по погрузке дров на транспорт вручную за 1м3</t>
  </si>
  <si>
    <t>Услуги по разгрузке дров на транспорт вручную за 1м3</t>
  </si>
  <si>
    <t>_________________ А.Г. Ридецкий</t>
  </si>
  <si>
    <t>Прейскурант №8</t>
  </si>
  <si>
    <t>УСЛУГИ ПО ОХОТНИЧЬЕМУ ХОЗЯЙСТВУ</t>
  </si>
  <si>
    <t>Проживание в охотничье домике за 1 койко-сутки</t>
  </si>
  <si>
    <t>Прокат ведра для приготовления ухи за 1 час</t>
  </si>
  <si>
    <t>Прокат мангала с шампурами   за 1 час</t>
  </si>
  <si>
    <t>Стоянка автомобиля за 1 час</t>
  </si>
  <si>
    <t>Отдых в беседке за 1 час</t>
  </si>
  <si>
    <t>Отдых под навесом за 1 час</t>
  </si>
  <si>
    <t>Прокат посуды за 1 час</t>
  </si>
  <si>
    <t>Дрова, колотые за 1 м3</t>
  </si>
  <si>
    <t>Стоимость сдачи специального экзамена для</t>
  </si>
  <si>
    <t xml:space="preserve">получения гос.удостоверения на право охоты                                                                                                                       </t>
  </si>
  <si>
    <t xml:space="preserve">Экономист                                                         </t>
  </si>
  <si>
    <t xml:space="preserve">                                                                УТВЕРЖДАЮ</t>
  </si>
  <si>
    <t>Прейскурант №6</t>
  </si>
  <si>
    <t xml:space="preserve">ДЕТАЛИ ПРОФИЛЬНЫЕ ИЗ ДРЕВЕСИНЫ ДЛЯ  </t>
  </si>
  <si>
    <t>СТРОИТЕЛЬСТВА И МЕБЕЛЬ</t>
  </si>
  <si>
    <t>м2</t>
  </si>
  <si>
    <t>Дверной блок с 1-й дверью, ГОСТ 475-78</t>
  </si>
  <si>
    <t>Наличник (шир.12 см). СТБ1074-97</t>
  </si>
  <si>
    <t>м.п.</t>
  </si>
  <si>
    <t>Плинтус, СТБ1074-97</t>
  </si>
  <si>
    <t>Кровать</t>
  </si>
  <si>
    <t>Обшивка, СТБ 1074-2009</t>
  </si>
  <si>
    <t>Доска пола класс А, СТБ 1074-2009</t>
  </si>
  <si>
    <t>Доска пола класс В, СТБ 1074-2009</t>
  </si>
  <si>
    <t>Доска пола класс С, СТБ 1074-2009</t>
  </si>
  <si>
    <t>Блок-хаус 1 сорт, СТБ 1074-2009</t>
  </si>
  <si>
    <t>Блок-хаус 2 сорт, СТБ 1074-2009</t>
  </si>
  <si>
    <t>Блок-хаус 3 сорт, СТБ 1074-2009</t>
  </si>
  <si>
    <t>Колья деревянные  ТУРБ 100195503.012-2003</t>
  </si>
  <si>
    <t xml:space="preserve">Экономист                                                           </t>
  </si>
  <si>
    <t>Прейскурант № 10</t>
  </si>
  <si>
    <t>отпускных цен на заготовки деревянные для поддонов</t>
  </si>
  <si>
    <t>ЗАГОТОВКИ ПОДДОНОВ</t>
  </si>
  <si>
    <t>ТУ РБ 100195503.011-2002</t>
  </si>
  <si>
    <t>Группа качества</t>
  </si>
  <si>
    <t>до 25</t>
  </si>
  <si>
    <t>до 2.0</t>
  </si>
  <si>
    <t>2.1 и более</t>
  </si>
  <si>
    <t>Утверждаю</t>
  </si>
  <si>
    <t xml:space="preserve">Приложение к приказу от 02.12.2019 № 1054  </t>
  </si>
  <si>
    <t>ПРЕЙСКУРАНТ  № 11</t>
  </si>
  <si>
    <t xml:space="preserve">ОТПУСКНЫХ ЦЕН НА ПРОДУКЦИЮ </t>
  </si>
  <si>
    <t>ГЛХУ "Лельчицкий лесхоз"</t>
  </si>
  <si>
    <t>I    Отпускные цены на щепу топливную</t>
  </si>
  <si>
    <r>
      <t>1</t>
    </r>
    <r>
      <rPr>
        <i/>
        <sz val="12"/>
        <rFont val="Times New Roman"/>
        <family val="1"/>
      </rPr>
      <t xml:space="preserve"> Отпускные цены на щепу топливную , </t>
    </r>
  </si>
  <si>
    <r>
      <t>поставляемую на условиях</t>
    </r>
    <r>
      <rPr>
        <b/>
        <i/>
        <sz val="12"/>
        <rFont val="Times New Roman"/>
        <family val="1"/>
      </rPr>
      <t xml:space="preserve"> франко-нижний склад</t>
    </r>
  </si>
  <si>
    <t>1.1 ЩЕПА ТОПЛИВНАЯ</t>
  </si>
  <si>
    <t>Цена за 1 куб. м, бел.руб. без НДС</t>
  </si>
  <si>
    <t>Франко-нижний склад</t>
  </si>
  <si>
    <t>П.В. Янковец</t>
  </si>
  <si>
    <t>Приложение к приказу от 03.01.2020 № 28</t>
  </si>
  <si>
    <t>ПРЕЙСКУРАНТ  № 12</t>
  </si>
  <si>
    <t>I    Отпускные цены на опилки</t>
  </si>
  <si>
    <r>
      <t>1</t>
    </r>
    <r>
      <rPr>
        <i/>
        <sz val="12"/>
        <rFont val="Times New Roman"/>
        <family val="1"/>
      </rPr>
      <t xml:space="preserve"> Отпускные цены на опилки , </t>
    </r>
  </si>
  <si>
    <r>
      <t>поставляемые на условиях</t>
    </r>
    <r>
      <rPr>
        <b/>
        <i/>
        <sz val="12"/>
        <rFont val="Times New Roman"/>
        <family val="1"/>
      </rPr>
      <t xml:space="preserve"> франко-нижний склад</t>
    </r>
  </si>
  <si>
    <t>1.1 ОПИЛКИ</t>
  </si>
  <si>
    <t xml:space="preserve">Приложение к приказу № 29 от 03.01.2020   </t>
  </si>
  <si>
    <t>Прейскурант № 13 отпускных цен на</t>
  </si>
  <si>
    <t xml:space="preserve"> ЛЕСОМАТЕРИАЛЫ КРУГЛЫЕ ХВОЙНЫХ И ЛИСТВЕННЫХ ПОРОД</t>
  </si>
  <si>
    <t>Диаметр, см</t>
  </si>
  <si>
    <t>реализуемые на услових</t>
  </si>
  <si>
    <t>франко- верхний лесосклад (ФВС)</t>
  </si>
  <si>
    <t>франко- промежуточный лесосклад (ФПС)</t>
  </si>
  <si>
    <t>франко- нижний лесосклад (ФНС)</t>
  </si>
  <si>
    <t>франко-вагон (судно) станция (пристань) отправления (ФВСО)</t>
  </si>
  <si>
    <t>цена за 1м3 в бел.рублях без учета НДС</t>
  </si>
  <si>
    <t xml:space="preserve">1. Лесоматериалы круглые хвойных пород (сосна, ель) (СТБ 2316-2-2013 (EN 1927-2:2008)) </t>
  </si>
  <si>
    <t>любая</t>
  </si>
  <si>
    <t>до 13</t>
  </si>
  <si>
    <t>A</t>
  </si>
  <si>
    <t>14-25</t>
  </si>
  <si>
    <t>B</t>
  </si>
  <si>
    <t>С</t>
  </si>
  <si>
    <t>D</t>
  </si>
  <si>
    <t>любой</t>
  </si>
  <si>
    <t xml:space="preserve">2. Лесоматериалы круглые лиственных пород (береза, ольха)  (СТБ 2315-1-2013 (EN 1316-2:2012)) </t>
  </si>
  <si>
    <t xml:space="preserve">2. Лесоматериалы круглые лиственных пород (осина)  (СТБ 2315-1-2013 (EN 1316-2:2012)) </t>
  </si>
  <si>
    <t>Экономист по ценам</t>
  </si>
  <si>
    <t xml:space="preserve">Приложение к приказу № 193 от 24.02.2020   </t>
  </si>
  <si>
    <t>Прейскурант № 14 отпускных цен на</t>
  </si>
  <si>
    <t xml:space="preserve"> ЛЕСОМАТЕРИАЛЫ КРУГЛЫЕ ТВЕРДОЛИСТВЕННЫХ ПОРОД</t>
  </si>
  <si>
    <t xml:space="preserve">1. Лесоматериалы круглые твердолиственных пород (дуб)  (СТБ 2315-1-2013 (EN 1316-2:2012)) </t>
  </si>
  <si>
    <t>Вводится с 01 марта 2020 г.</t>
  </si>
  <si>
    <t>Приказ № 199 от 24.02.2020 г.</t>
  </si>
  <si>
    <t>Прейскурант № 15</t>
  </si>
  <si>
    <t>свыше 25</t>
  </si>
  <si>
    <t>к стоимости экскурсии по экологическому маршруту применяется скидка в размере 25%.</t>
  </si>
  <si>
    <t>Примечание: при формировании группы в количестве не менее 3-х человек,</t>
  </si>
  <si>
    <t>ПРЕЙСКУРАНТ</t>
  </si>
  <si>
    <t>на сок берёзовый натуральный</t>
  </si>
  <si>
    <t>Условия реализации</t>
  </si>
  <si>
    <t>Франко-лесосека</t>
  </si>
  <si>
    <t>Франко-склад покупателя</t>
  </si>
  <si>
    <t>Франко-склад лесничества</t>
  </si>
  <si>
    <t>Цена за 1 кг., в бел. рублях, без НДС</t>
  </si>
  <si>
    <t>на новогодние деревья (ель, сосна),</t>
  </si>
  <si>
    <t>реализуемые на условиях франко-склад лесничества (лесхоза)</t>
  </si>
  <si>
    <t>ТУ РБ 00969296.004-97</t>
  </si>
  <si>
    <t>Цена за 1 дерево, в бел. рублях, без НДС</t>
  </si>
  <si>
    <t>до 1 м</t>
  </si>
  <si>
    <t>1,1 - 2 м</t>
  </si>
  <si>
    <t>2,1 - 3 м</t>
  </si>
  <si>
    <t>3,1 - 4 м</t>
  </si>
  <si>
    <t>4,1 - 5 м</t>
  </si>
  <si>
    <t>5,1 - 8 м</t>
  </si>
  <si>
    <t>8,1 - 15 м</t>
  </si>
  <si>
    <t>Букет новогодний</t>
  </si>
  <si>
    <t>1 ветка хвойных пород</t>
  </si>
  <si>
    <t>Цена за 1 ветку, в бел. рублях,            без НДС</t>
  </si>
  <si>
    <t xml:space="preserve">Приложение к приказу от 11.02.2020 № 174а  </t>
  </si>
  <si>
    <t>ПРЕЙСКУРАНТ  № 16</t>
  </si>
  <si>
    <t>I    Отпускные цены на лесоматериалы для выработки</t>
  </si>
  <si>
    <t>целлюлозы и древесной массы (балансы хвойных пород), 2 и 3 сорт</t>
  </si>
  <si>
    <r>
      <t>1</t>
    </r>
    <r>
      <rPr>
        <i/>
        <sz val="12"/>
        <rFont val="Times New Roman"/>
        <family val="1"/>
      </rPr>
      <t xml:space="preserve"> Отпускные цены на балансы , </t>
    </r>
  </si>
  <si>
    <r>
      <t>поставляемые на условиях</t>
    </r>
    <r>
      <rPr>
        <b/>
        <i/>
        <sz val="12"/>
        <rFont val="Times New Roman"/>
        <family val="1"/>
      </rPr>
      <t xml:space="preserve"> франко-верхний склад</t>
    </r>
  </si>
  <si>
    <t>1.1 Балансы</t>
  </si>
  <si>
    <t>Франко-верхний склад</t>
  </si>
  <si>
    <t>Приложение к Прейскуранту №4</t>
  </si>
  <si>
    <t>Вводится с 01 апреля 2020 г.</t>
  </si>
  <si>
    <t>Приказ № 309 от 23.03.2020г.</t>
  </si>
  <si>
    <t>Прейскурант № 17</t>
  </si>
  <si>
    <t>обрезные, сухие, строганные</t>
  </si>
  <si>
    <t xml:space="preserve"> </t>
  </si>
  <si>
    <t>обрезные, сухие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</si>
</sst>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7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22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0"/>
      <color indexed="60"/>
      <name val="Times New Roman"/>
      <family val="1"/>
    </font>
    <font>
      <b/>
      <i/>
      <sz val="11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b/>
      <i/>
      <u val="single"/>
      <sz val="14"/>
      <name val="Times New Roman"/>
      <family val="1"/>
    </font>
    <font>
      <i/>
      <sz val="11"/>
      <color indexed="12"/>
      <name val="Times New Roman"/>
      <family val="1"/>
    </font>
    <font>
      <b/>
      <i/>
      <sz val="16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9"/>
      <name val="Times New Roman"/>
      <family val="1"/>
    </font>
    <font>
      <sz val="12"/>
      <color indexed="60"/>
      <name val="Times New Roman"/>
      <family val="1"/>
    </font>
    <font>
      <b/>
      <i/>
      <u val="single"/>
      <sz val="14"/>
      <color indexed="17"/>
      <name val="Times New Roman"/>
      <family val="1"/>
    </font>
    <font>
      <b/>
      <i/>
      <sz val="16"/>
      <name val="Times New Roman"/>
      <family val="1"/>
    </font>
    <font>
      <b/>
      <sz val="14"/>
      <color indexed="9"/>
      <name val="Times New Roman"/>
      <family val="1"/>
    </font>
    <font>
      <sz val="14"/>
      <color indexed="17"/>
      <name val="Times New Roman"/>
      <family val="1"/>
    </font>
    <font>
      <b/>
      <i/>
      <sz val="18"/>
      <name val="Times New Roman"/>
      <family val="1"/>
    </font>
    <font>
      <sz val="14"/>
      <name val="Arial Cyr"/>
      <family val="0"/>
    </font>
    <font>
      <sz val="14"/>
      <color indexed="12"/>
      <name val="Times New Roman"/>
      <family val="1"/>
    </font>
    <font>
      <sz val="12"/>
      <color indexed="9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0499799996614456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dashed"/>
      <right style="dashed"/>
      <top style="dashed"/>
      <bottom style="thin"/>
    </border>
    <border>
      <left style="dashed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right" indent="2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9" fontId="1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1" fontId="16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 wrapText="1"/>
    </xf>
    <xf numFmtId="9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12" fillId="34" borderId="1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9" fontId="8" fillId="0" borderId="10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41" fontId="23" fillId="0" borderId="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center"/>
    </xf>
    <xf numFmtId="3" fontId="8" fillId="0" borderId="26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3" fontId="8" fillId="0" borderId="27" xfId="0" applyNumberFormat="1" applyFont="1" applyBorder="1" applyAlignment="1">
      <alignment horizontal="center"/>
    </xf>
    <xf numFmtId="4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 vertical="center"/>
    </xf>
    <xf numFmtId="3" fontId="21" fillId="0" borderId="27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3" fontId="8" fillId="0" borderId="31" xfId="0" applyNumberFormat="1" applyFont="1" applyBorder="1" applyAlignment="1">
      <alignment horizontal="center"/>
    </xf>
    <xf numFmtId="3" fontId="21" fillId="0" borderId="32" xfId="0" applyNumberFormat="1" applyFont="1" applyBorder="1" applyAlignment="1">
      <alignment horizontal="center"/>
    </xf>
    <xf numFmtId="4" fontId="8" fillId="0" borderId="33" xfId="0" applyNumberFormat="1" applyFont="1" applyBorder="1" applyAlignment="1">
      <alignment horizontal="center"/>
    </xf>
    <xf numFmtId="3" fontId="21" fillId="0" borderId="34" xfId="0" applyNumberFormat="1" applyFont="1" applyBorder="1" applyAlignment="1">
      <alignment horizontal="center"/>
    </xf>
    <xf numFmtId="4" fontId="8" fillId="0" borderId="35" xfId="0" applyNumberFormat="1" applyFont="1" applyBorder="1" applyAlignment="1">
      <alignment horizontal="center"/>
    </xf>
    <xf numFmtId="3" fontId="21" fillId="0" borderId="36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3" fontId="21" fillId="0" borderId="37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41" fontId="5" fillId="0" borderId="0" xfId="0" applyNumberFormat="1" applyFont="1" applyBorder="1" applyAlignment="1">
      <alignment vertical="center"/>
    </xf>
    <xf numFmtId="3" fontId="21" fillId="0" borderId="30" xfId="0" applyNumberFormat="1" applyFont="1" applyBorder="1" applyAlignment="1">
      <alignment horizontal="center"/>
    </xf>
    <xf numFmtId="4" fontId="8" fillId="0" borderId="38" xfId="0" applyNumberFormat="1" applyFont="1" applyBorder="1" applyAlignment="1">
      <alignment horizontal="center"/>
    </xf>
    <xf numFmtId="3" fontId="21" fillId="0" borderId="31" xfId="0" applyNumberFormat="1" applyFont="1" applyBorder="1" applyAlignment="1">
      <alignment horizontal="center"/>
    </xf>
    <xf numFmtId="4" fontId="8" fillId="0" borderId="29" xfId="0" applyNumberFormat="1" applyFont="1" applyBorder="1" applyAlignment="1">
      <alignment horizontal="center"/>
    </xf>
    <xf numFmtId="3" fontId="8" fillId="0" borderId="39" xfId="0" applyNumberFormat="1" applyFont="1" applyBorder="1" applyAlignment="1">
      <alignment horizontal="center"/>
    </xf>
    <xf numFmtId="3" fontId="8" fillId="0" borderId="40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41" fontId="23" fillId="0" borderId="0" xfId="0" applyNumberFormat="1" applyFont="1" applyBorder="1" applyAlignment="1">
      <alignment vertical="center"/>
    </xf>
    <xf numFmtId="3" fontId="21" fillId="0" borderId="42" xfId="0" applyNumberFormat="1" applyFont="1" applyBorder="1" applyAlignment="1">
      <alignment horizontal="center"/>
    </xf>
    <xf numFmtId="4" fontId="8" fillId="0" borderId="43" xfId="0" applyNumberFormat="1" applyFont="1" applyBorder="1" applyAlignment="1">
      <alignment horizontal="center"/>
    </xf>
    <xf numFmtId="3" fontId="8" fillId="0" borderId="44" xfId="0" applyNumberFormat="1" applyFont="1" applyBorder="1" applyAlignment="1">
      <alignment horizontal="center"/>
    </xf>
    <xf numFmtId="4" fontId="8" fillId="0" borderId="41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/>
    </xf>
    <xf numFmtId="3" fontId="8" fillId="0" borderId="37" xfId="0" applyNumberFormat="1" applyFont="1" applyBorder="1" applyAlignment="1">
      <alignment horizontal="center"/>
    </xf>
    <xf numFmtId="0" fontId="8" fillId="0" borderId="46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47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/>
    </xf>
    <xf numFmtId="43" fontId="8" fillId="0" borderId="18" xfId="62" applyFont="1" applyBorder="1" applyAlignment="1">
      <alignment horizontal="center" vertical="center" shrinkToFit="1"/>
    </xf>
    <xf numFmtId="3" fontId="8" fillId="0" borderId="18" xfId="0" applyNumberFormat="1" applyFont="1" applyBorder="1" applyAlignment="1">
      <alignment horizontal="center" vertical="center"/>
    </xf>
    <xf numFmtId="43" fontId="8" fillId="0" borderId="48" xfId="62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43" fontId="8" fillId="0" borderId="10" xfId="62" applyFont="1" applyBorder="1" applyAlignment="1">
      <alignment horizontal="center" vertical="center"/>
    </xf>
    <xf numFmtId="43" fontId="8" fillId="0" borderId="41" xfId="62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center" vertical="center"/>
    </xf>
    <xf numFmtId="43" fontId="8" fillId="0" borderId="13" xfId="62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9" fontId="28" fillId="35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5" fillId="33" borderId="0" xfId="0" applyFont="1" applyFill="1" applyAlignment="1">
      <alignment wrapText="1"/>
    </xf>
    <xf numFmtId="0" fontId="9" fillId="33" borderId="0" xfId="0" applyFont="1" applyFill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1" fillId="34" borderId="5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49" fontId="8" fillId="0" borderId="42" xfId="0" applyNumberFormat="1" applyFont="1" applyBorder="1" applyAlignment="1">
      <alignment horizontal="center" vertical="center"/>
    </xf>
    <xf numFmtId="3" fontId="21" fillId="0" borderId="47" xfId="0" applyNumberFormat="1" applyFont="1" applyBorder="1" applyAlignment="1">
      <alignment horizontal="center"/>
    </xf>
    <xf numFmtId="4" fontId="8" fillId="0" borderId="29" xfId="0" applyNumberFormat="1" applyFont="1" applyFill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4" fontId="8" fillId="0" borderId="28" xfId="0" applyNumberFormat="1" applyFont="1" applyFill="1" applyBorder="1" applyAlignment="1">
      <alignment horizontal="center"/>
    </xf>
    <xf numFmtId="3" fontId="8" fillId="0" borderId="50" xfId="0" applyNumberFormat="1" applyFont="1" applyBorder="1" applyAlignment="1">
      <alignment horizontal="center"/>
    </xf>
    <xf numFmtId="3" fontId="21" fillId="0" borderId="51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8" fillId="0" borderId="3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4" fontId="8" fillId="0" borderId="52" xfId="0" applyNumberFormat="1" applyFont="1" applyBorder="1" applyAlignment="1">
      <alignment horizontal="center"/>
    </xf>
    <xf numFmtId="3" fontId="8" fillId="0" borderId="3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8" fillId="0" borderId="10" xfId="0" applyNumberFormat="1" applyFont="1" applyBorder="1" applyAlignment="1">
      <alignment horizontal="center" vertical="center"/>
    </xf>
    <xf numFmtId="3" fontId="8" fillId="0" borderId="53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9" fontId="28" fillId="35" borderId="0" xfId="0" applyNumberFormat="1" applyFont="1" applyFill="1" applyAlignment="1">
      <alignment horizontal="center" vertical="center"/>
    </xf>
    <xf numFmtId="0" fontId="32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top" wrapText="1"/>
    </xf>
    <xf numFmtId="3" fontId="21" fillId="0" borderId="49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3" fontId="8" fillId="0" borderId="49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" fontId="8" fillId="0" borderId="54" xfId="0" applyNumberFormat="1" applyFont="1" applyBorder="1" applyAlignment="1">
      <alignment horizontal="center"/>
    </xf>
    <xf numFmtId="3" fontId="8" fillId="0" borderId="54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/>
    </xf>
    <xf numFmtId="49" fontId="8" fillId="0" borderId="54" xfId="0" applyNumberFormat="1" applyFont="1" applyBorder="1" applyAlignment="1">
      <alignment horizontal="center" vertical="center"/>
    </xf>
    <xf numFmtId="3" fontId="21" fillId="0" borderId="55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56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center"/>
    </xf>
    <xf numFmtId="3" fontId="8" fillId="0" borderId="57" xfId="0" applyNumberFormat="1" applyFont="1" applyBorder="1" applyAlignment="1">
      <alignment horizontal="center"/>
    </xf>
    <xf numFmtId="3" fontId="21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21" fillId="0" borderId="46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3" fontId="8" fillId="0" borderId="28" xfId="0" applyNumberFormat="1" applyFont="1" applyBorder="1" applyAlignment="1">
      <alignment horizontal="center"/>
    </xf>
    <xf numFmtId="4" fontId="8" fillId="0" borderId="53" xfId="0" applyNumberFormat="1" applyFont="1" applyBorder="1" applyAlignment="1">
      <alignment horizontal="center"/>
    </xf>
    <xf numFmtId="3" fontId="8" fillId="0" borderId="41" xfId="0" applyNumberFormat="1" applyFont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3" fontId="8" fillId="0" borderId="49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9" fontId="28" fillId="36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3" fillId="33" borderId="0" xfId="0" applyFont="1" applyFill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41" fontId="16" fillId="0" borderId="0" xfId="0" applyNumberFormat="1" applyFont="1" applyBorder="1" applyAlignment="1">
      <alignment horizontal="center" vertical="center"/>
    </xf>
    <xf numFmtId="0" fontId="9" fillId="34" borderId="58" xfId="0" applyFont="1" applyFill="1" applyBorder="1" applyAlignment="1">
      <alignment horizontal="center" vertical="top" wrapText="1"/>
    </xf>
    <xf numFmtId="3" fontId="21" fillId="0" borderId="38" xfId="0" applyNumberFormat="1" applyFont="1" applyBorder="1" applyAlignment="1">
      <alignment horizontal="center"/>
    </xf>
    <xf numFmtId="4" fontId="8" fillId="0" borderId="43" xfId="0" applyNumberFormat="1" applyFont="1" applyFill="1" applyBorder="1" applyAlignment="1">
      <alignment horizontal="center"/>
    </xf>
    <xf numFmtId="3" fontId="21" fillId="0" borderId="42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21" fillId="0" borderId="17" xfId="0" applyNumberFormat="1" applyFont="1" applyBorder="1" applyAlignment="1">
      <alignment horizontal="center"/>
    </xf>
    <xf numFmtId="3" fontId="21" fillId="0" borderId="16" xfId="0" applyNumberFormat="1" applyFont="1" applyFill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3" fontId="21" fillId="0" borderId="33" xfId="0" applyNumberFormat="1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 horizontal="center"/>
    </xf>
    <xf numFmtId="3" fontId="21" fillId="0" borderId="37" xfId="0" applyNumberFormat="1" applyFont="1" applyFill="1" applyBorder="1" applyAlignment="1">
      <alignment horizontal="center"/>
    </xf>
    <xf numFmtId="3" fontId="21" fillId="0" borderId="49" xfId="0" applyNumberFormat="1" applyFont="1" applyFill="1" applyBorder="1" applyAlignment="1">
      <alignment horizontal="center"/>
    </xf>
    <xf numFmtId="3" fontId="8" fillId="0" borderId="48" xfId="0" applyNumberFormat="1" applyFont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3" fontId="21" fillId="0" borderId="19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3" fontId="21" fillId="0" borderId="48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3" fontId="8" fillId="0" borderId="49" xfId="0" applyNumberFormat="1" applyFont="1" applyFill="1" applyBorder="1" applyAlignment="1">
      <alignment horizontal="center"/>
    </xf>
    <xf numFmtId="0" fontId="3" fillId="0" borderId="59" xfId="0" applyFont="1" applyBorder="1" applyAlignment="1">
      <alignment/>
    </xf>
    <xf numFmtId="0" fontId="8" fillId="0" borderId="35" xfId="0" applyFont="1" applyFill="1" applyBorder="1" applyAlignment="1">
      <alignment horizontal="center" vertical="center" wrapText="1"/>
    </xf>
    <xf numFmtId="0" fontId="33" fillId="0" borderId="60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61" xfId="0" applyFont="1" applyFill="1" applyBorder="1" applyAlignment="1">
      <alignment horizontal="center" vertical="center" wrapText="1"/>
    </xf>
    <xf numFmtId="2" fontId="8" fillId="0" borderId="38" xfId="0" applyNumberFormat="1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2" fontId="8" fillId="0" borderId="52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33" fillId="0" borderId="62" xfId="0" applyFont="1" applyFill="1" applyBorder="1" applyAlignment="1">
      <alignment horizontal="center" vertical="center" wrapText="1"/>
    </xf>
    <xf numFmtId="0" fontId="33" fillId="0" borderId="63" xfId="0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3" fillId="0" borderId="64" xfId="0" applyFont="1" applyFill="1" applyBorder="1" applyAlignment="1">
      <alignment horizontal="center" vertical="center" wrapText="1"/>
    </xf>
    <xf numFmtId="2" fontId="8" fillId="0" borderId="43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65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36" xfId="0" applyNumberFormat="1" applyFont="1" applyFill="1" applyBorder="1" applyAlignment="1">
      <alignment horizontal="center"/>
    </xf>
    <xf numFmtId="0" fontId="5" fillId="0" borderId="59" xfId="0" applyFont="1" applyBorder="1" applyAlignment="1">
      <alignment/>
    </xf>
    <xf numFmtId="0" fontId="0" fillId="0" borderId="59" xfId="0" applyBorder="1" applyAlignment="1">
      <alignment/>
    </xf>
    <xf numFmtId="3" fontId="21" fillId="0" borderId="27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53" xfId="0" applyFont="1" applyBorder="1" applyAlignment="1">
      <alignment/>
    </xf>
    <xf numFmtId="0" fontId="1" fillId="0" borderId="0" xfId="0" applyFont="1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7" fillId="0" borderId="4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1" fillId="0" borderId="26" xfId="0" applyFont="1" applyBorder="1" applyAlignment="1">
      <alignment/>
    </xf>
    <xf numFmtId="2" fontId="8" fillId="0" borderId="20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0" fontId="34" fillId="0" borderId="0" xfId="0" applyFont="1" applyAlignment="1">
      <alignment/>
    </xf>
    <xf numFmtId="3" fontId="21" fillId="0" borderId="50" xfId="0" applyNumberFormat="1" applyFont="1" applyBorder="1" applyAlignment="1">
      <alignment horizontal="center"/>
    </xf>
    <xf numFmtId="3" fontId="21" fillId="0" borderId="60" xfId="0" applyNumberFormat="1" applyFont="1" applyBorder="1" applyAlignment="1">
      <alignment horizontal="center"/>
    </xf>
    <xf numFmtId="3" fontId="8" fillId="0" borderId="61" xfId="0" applyNumberFormat="1" applyFont="1" applyBorder="1" applyAlignment="1">
      <alignment horizontal="center"/>
    </xf>
    <xf numFmtId="3" fontId="21" fillId="0" borderId="32" xfId="0" applyNumberFormat="1" applyFont="1" applyFill="1" applyBorder="1" applyAlignment="1">
      <alignment horizontal="center"/>
    </xf>
    <xf numFmtId="3" fontId="21" fillId="0" borderId="65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0" fontId="36" fillId="0" borderId="0" xfId="0" applyFont="1" applyAlignment="1">
      <alignment horizontal="left"/>
    </xf>
    <xf numFmtId="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3" fillId="0" borderId="48" xfId="0" applyFont="1" applyBorder="1" applyAlignment="1">
      <alignment horizontal="center" vertical="top" wrapText="1"/>
    </xf>
    <xf numFmtId="0" fontId="20" fillId="0" borderId="66" xfId="0" applyFont="1" applyBorder="1" applyAlignment="1">
      <alignment horizontal="center" vertical="top" wrapText="1"/>
    </xf>
    <xf numFmtId="0" fontId="20" fillId="0" borderId="39" xfId="0" applyFont="1" applyBorder="1" applyAlignment="1">
      <alignment horizontal="center" vertical="top" wrapText="1"/>
    </xf>
    <xf numFmtId="0" fontId="20" fillId="0" borderId="61" xfId="0" applyFont="1" applyBorder="1" applyAlignment="1">
      <alignment horizontal="center" vertical="top" wrapText="1"/>
    </xf>
    <xf numFmtId="0" fontId="20" fillId="0" borderId="67" xfId="0" applyFont="1" applyBorder="1" applyAlignment="1">
      <alignment horizontal="center" vertical="top" wrapText="1"/>
    </xf>
    <xf numFmtId="0" fontId="3" fillId="0" borderId="68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vertical="center"/>
    </xf>
    <xf numFmtId="0" fontId="7" fillId="0" borderId="44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1" fontId="23" fillId="0" borderId="69" xfId="0" applyNumberFormat="1" applyFont="1" applyBorder="1" applyAlignment="1">
      <alignment horizontal="center" vertical="center"/>
    </xf>
    <xf numFmtId="41" fontId="23" fillId="0" borderId="70" xfId="0" applyNumberFormat="1" applyFont="1" applyBorder="1" applyAlignment="1">
      <alignment horizontal="center" vertical="center"/>
    </xf>
    <xf numFmtId="41" fontId="23" fillId="0" borderId="71" xfId="0" applyNumberFormat="1" applyFont="1" applyBorder="1" applyAlignment="1">
      <alignment horizontal="center" vertical="center"/>
    </xf>
    <xf numFmtId="0" fontId="8" fillId="0" borderId="44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41" fontId="23" fillId="0" borderId="72" xfId="0" applyNumberFormat="1" applyFont="1" applyBorder="1" applyAlignment="1">
      <alignment horizontal="center" vertical="center"/>
    </xf>
    <xf numFmtId="41" fontId="23" fillId="0" borderId="73" xfId="0" applyNumberFormat="1" applyFont="1" applyBorder="1" applyAlignment="1">
      <alignment horizontal="center" vertical="center"/>
    </xf>
    <xf numFmtId="41" fontId="23" fillId="0" borderId="74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1" fontId="23" fillId="0" borderId="75" xfId="0" applyNumberFormat="1" applyFont="1" applyBorder="1" applyAlignment="1">
      <alignment horizontal="center" vertical="center"/>
    </xf>
    <xf numFmtId="41" fontId="23" fillId="0" borderId="76" xfId="0" applyNumberFormat="1" applyFont="1" applyBorder="1" applyAlignment="1">
      <alignment horizontal="center" vertical="center"/>
    </xf>
    <xf numFmtId="41" fontId="23" fillId="0" borderId="77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1" fontId="23" fillId="0" borderId="78" xfId="0" applyNumberFormat="1" applyFont="1" applyBorder="1" applyAlignment="1">
      <alignment horizontal="center" vertical="center"/>
    </xf>
    <xf numFmtId="41" fontId="23" fillId="0" borderId="79" xfId="0" applyNumberFormat="1" applyFont="1" applyBorder="1" applyAlignment="1">
      <alignment horizontal="center" vertical="center"/>
    </xf>
    <xf numFmtId="41" fontId="23" fillId="0" borderId="80" xfId="0" applyNumberFormat="1" applyFont="1" applyBorder="1" applyAlignment="1">
      <alignment horizontal="center" vertical="center"/>
    </xf>
    <xf numFmtId="41" fontId="23" fillId="0" borderId="81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8" fillId="0" borderId="63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9" fillId="36" borderId="0" xfId="0" applyFont="1" applyFill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49" fontId="8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49" fontId="8" fillId="0" borderId="13" xfId="0" applyNumberFormat="1" applyFont="1" applyBorder="1" applyAlignment="1">
      <alignment vertical="center"/>
    </xf>
    <xf numFmtId="0" fontId="8" fillId="0" borderId="82" xfId="0" applyFont="1" applyBorder="1" applyAlignment="1">
      <alignment horizontal="right" vertical="center"/>
    </xf>
    <xf numFmtId="0" fontId="8" fillId="0" borderId="83" xfId="0" applyFont="1" applyBorder="1" applyAlignment="1">
      <alignment horizontal="right" vertical="center"/>
    </xf>
    <xf numFmtId="0" fontId="8" fillId="0" borderId="84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49" fontId="8" fillId="0" borderId="54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3" fontId="8" fillId="0" borderId="37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54" xfId="0" applyNumberFormat="1" applyFont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left" vertical="center"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/>
    </xf>
    <xf numFmtId="49" fontId="8" fillId="0" borderId="12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49" fontId="8" fillId="0" borderId="54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0" fontId="8" fillId="0" borderId="1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right" vertical="center"/>
    </xf>
    <xf numFmtId="9" fontId="28" fillId="36" borderId="0" xfId="0" applyNumberFormat="1" applyFont="1" applyFill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3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3" fontId="8" fillId="0" borderId="4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3" fontId="8" fillId="0" borderId="2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4" fontId="8" fillId="0" borderId="4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12" fillId="34" borderId="0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/>
    </xf>
    <xf numFmtId="0" fontId="12" fillId="34" borderId="32" xfId="0" applyFont="1" applyFill="1" applyBorder="1" applyAlignment="1">
      <alignment horizontal="center" vertical="center" wrapText="1"/>
    </xf>
    <xf numFmtId="0" fontId="12" fillId="34" borderId="65" xfId="0" applyFont="1" applyFill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/>
    </xf>
    <xf numFmtId="3" fontId="8" fillId="0" borderId="60" xfId="0" applyNumberFormat="1" applyFont="1" applyBorder="1" applyAlignment="1">
      <alignment horizontal="center"/>
    </xf>
    <xf numFmtId="3" fontId="21" fillId="0" borderId="65" xfId="0" applyNumberFormat="1" applyFont="1" applyBorder="1" applyAlignment="1">
      <alignment horizontal="center"/>
    </xf>
    <xf numFmtId="0" fontId="8" fillId="0" borderId="4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21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/>
    </xf>
    <xf numFmtId="0" fontId="5" fillId="0" borderId="0" xfId="52" applyFont="1">
      <alignment/>
      <protection/>
    </xf>
    <xf numFmtId="0" fontId="59" fillId="0" borderId="0" xfId="53">
      <alignment/>
      <protection/>
    </xf>
    <xf numFmtId="0" fontId="2" fillId="0" borderId="0" xfId="52" applyFont="1" applyAlignment="1">
      <alignment horizontal="right"/>
      <protection/>
    </xf>
    <xf numFmtId="0" fontId="5" fillId="0" borderId="0" xfId="52" applyFont="1" applyFill="1">
      <alignment/>
      <protection/>
    </xf>
    <xf numFmtId="0" fontId="2" fillId="0" borderId="0" xfId="52" applyFont="1" applyFill="1" applyAlignment="1">
      <alignment horizontal="right"/>
      <protection/>
    </xf>
    <xf numFmtId="0" fontId="0" fillId="0" borderId="0" xfId="52" applyAlignment="1">
      <alignment/>
      <protection/>
    </xf>
    <xf numFmtId="0" fontId="37" fillId="0" borderId="0" xfId="52" applyFont="1" applyAlignment="1">
      <alignment/>
      <protection/>
    </xf>
    <xf numFmtId="0" fontId="76" fillId="0" borderId="0" xfId="53" applyFont="1">
      <alignment/>
      <protection/>
    </xf>
    <xf numFmtId="0" fontId="76" fillId="0" borderId="0" xfId="53" applyFont="1" applyAlignment="1">
      <alignment horizontal="right"/>
      <protection/>
    </xf>
    <xf numFmtId="0" fontId="2" fillId="0" borderId="0" xfId="0" applyFont="1" applyAlignment="1">
      <alignment vertical="center"/>
    </xf>
    <xf numFmtId="0" fontId="77" fillId="0" borderId="0" xfId="0" applyFont="1" applyAlignment="1">
      <alignment/>
    </xf>
    <xf numFmtId="0" fontId="39" fillId="0" borderId="0" xfId="52" applyFont="1" applyAlignment="1">
      <alignment/>
      <protection/>
    </xf>
    <xf numFmtId="0" fontId="17" fillId="0" borderId="0" xfId="52" applyFont="1" applyAlignment="1">
      <alignment horizontal="left"/>
      <protection/>
    </xf>
    <xf numFmtId="0" fontId="38" fillId="0" borderId="61" xfId="0" applyFont="1" applyBorder="1" applyAlignment="1">
      <alignment horizontal="center" vertical="center" wrapText="1"/>
    </xf>
    <xf numFmtId="0" fontId="38" fillId="4" borderId="61" xfId="0" applyFont="1" applyFill="1" applyBorder="1" applyAlignment="1">
      <alignment horizontal="center" vertical="center" wrapText="1"/>
    </xf>
    <xf numFmtId="2" fontId="17" fillId="0" borderId="61" xfId="0" applyNumberFormat="1" applyFont="1" applyBorder="1" applyAlignment="1">
      <alignment horizontal="center" vertical="center" wrapText="1"/>
    </xf>
    <xf numFmtId="49" fontId="38" fillId="37" borderId="61" xfId="0" applyNumberFormat="1" applyFont="1" applyFill="1" applyBorder="1" applyAlignment="1">
      <alignment horizontal="center" vertical="center"/>
    </xf>
    <xf numFmtId="49" fontId="38" fillId="0" borderId="6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1" fillId="0" borderId="61" xfId="0" applyFont="1" applyFill="1" applyBorder="1" applyAlignment="1">
      <alignment horizontal="center" vertical="top" wrapText="1"/>
    </xf>
    <xf numFmtId="0" fontId="2" fillId="0" borderId="61" xfId="0" applyFont="1" applyFill="1" applyBorder="1" applyAlignment="1">
      <alignment horizontal="center" vertical="top" wrapText="1"/>
    </xf>
    <xf numFmtId="0" fontId="1" fillId="0" borderId="61" xfId="0" applyFont="1" applyBorder="1" applyAlignment="1">
      <alignment horizontal="center" wrapText="1"/>
    </xf>
    <xf numFmtId="2" fontId="2" fillId="0" borderId="61" xfId="0" applyNumberFormat="1" applyFont="1" applyBorder="1" applyAlignment="1">
      <alignment horizontal="center"/>
    </xf>
    <xf numFmtId="0" fontId="8" fillId="0" borderId="4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61" xfId="0" applyFont="1" applyBorder="1" applyAlignment="1">
      <alignment/>
    </xf>
    <xf numFmtId="0" fontId="17" fillId="0" borderId="53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4" fontId="8" fillId="0" borderId="38" xfId="0" applyNumberFormat="1" applyFont="1" applyFill="1" applyBorder="1" applyAlignment="1">
      <alignment horizontal="center" vertical="center"/>
    </xf>
    <xf numFmtId="4" fontId="8" fillId="0" borderId="33" xfId="0" applyNumberFormat="1" applyFont="1" applyFill="1" applyBorder="1" applyAlignment="1">
      <alignment horizontal="center" vertical="center"/>
    </xf>
    <xf numFmtId="4" fontId="8" fillId="0" borderId="68" xfId="0" applyNumberFormat="1" applyFont="1" applyBorder="1" applyAlignment="1">
      <alignment horizontal="center" vertical="center"/>
    </xf>
    <xf numFmtId="4" fontId="8" fillId="0" borderId="85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53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17" fillId="0" borderId="46" xfId="0" applyFont="1" applyBorder="1" applyAlignment="1">
      <alignment horizontal="center"/>
    </xf>
    <xf numFmtId="0" fontId="17" fillId="0" borderId="49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0" fontId="9" fillId="34" borderId="48" xfId="0" applyFont="1" applyFill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2" fillId="34" borderId="48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9" fillId="34" borderId="89" xfId="0" applyFont="1" applyFill="1" applyBorder="1" applyAlignment="1">
      <alignment horizontal="center" vertical="top" wrapText="1"/>
    </xf>
    <xf numFmtId="0" fontId="9" fillId="34" borderId="13" xfId="0" applyFont="1" applyFill="1" applyBorder="1" applyAlignment="1">
      <alignment horizontal="center" vertical="top" wrapText="1"/>
    </xf>
    <xf numFmtId="0" fontId="17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0" borderId="68" xfId="0" applyNumberFormat="1" applyFont="1" applyBorder="1" applyAlignment="1">
      <alignment horizontal="center" vertical="center"/>
    </xf>
    <xf numFmtId="3" fontId="8" fillId="0" borderId="85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0" fontId="8" fillId="0" borderId="68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49" fontId="8" fillId="0" borderId="68" xfId="0" applyNumberFormat="1" applyFont="1" applyBorder="1" applyAlignment="1">
      <alignment horizontal="center" vertical="center"/>
    </xf>
    <xf numFmtId="49" fontId="8" fillId="0" borderId="85" xfId="0" applyNumberFormat="1" applyFont="1" applyBorder="1" applyAlignment="1">
      <alignment horizontal="center" vertical="center"/>
    </xf>
    <xf numFmtId="49" fontId="8" fillId="0" borderId="59" xfId="0" applyNumberFormat="1" applyFont="1" applyBorder="1" applyAlignment="1">
      <alignment horizontal="center" vertical="center"/>
    </xf>
    <xf numFmtId="0" fontId="30" fillId="34" borderId="49" xfId="0" applyFont="1" applyFill="1" applyBorder="1" applyAlignment="1">
      <alignment horizontal="center" vertical="top" wrapText="1"/>
    </xf>
    <xf numFmtId="0" fontId="30" fillId="34" borderId="11" xfId="0" applyFont="1" applyFill="1" applyBorder="1" applyAlignment="1">
      <alignment horizontal="center" vertical="top" wrapText="1"/>
    </xf>
    <xf numFmtId="0" fontId="30" fillId="34" borderId="0" xfId="0" applyFont="1" applyFill="1" applyBorder="1" applyAlignment="1">
      <alignment horizontal="center" vertical="top" wrapText="1"/>
    </xf>
    <xf numFmtId="0" fontId="30" fillId="34" borderId="54" xfId="0" applyFont="1" applyFill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30" fillId="34" borderId="89" xfId="0" applyFont="1" applyFill="1" applyBorder="1" applyAlignment="1">
      <alignment horizontal="center" vertical="top" wrapText="1"/>
    </xf>
    <xf numFmtId="0" fontId="30" fillId="34" borderId="13" xfId="0" applyFont="1" applyFill="1" applyBorder="1" applyAlignment="1">
      <alignment horizontal="center" vertical="top" wrapText="1"/>
    </xf>
    <xf numFmtId="4" fontId="8" fillId="0" borderId="27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3" fontId="8" fillId="0" borderId="90" xfId="0" applyNumberFormat="1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3" fontId="8" fillId="0" borderId="55" xfId="0" applyNumberFormat="1" applyFont="1" applyBorder="1" applyAlignment="1">
      <alignment horizontal="center" vertical="center"/>
    </xf>
    <xf numFmtId="3" fontId="8" fillId="0" borderId="53" xfId="0" applyNumberFormat="1" applyFont="1" applyBorder="1" applyAlignment="1">
      <alignment horizontal="center" vertical="center"/>
    </xf>
    <xf numFmtId="4" fontId="8" fillId="0" borderId="45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left" vertical="center" wrapText="1"/>
    </xf>
    <xf numFmtId="49" fontId="8" fillId="0" borderId="54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42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3" fontId="8" fillId="0" borderId="54" xfId="0" applyNumberFormat="1" applyFont="1" applyBorder="1" applyAlignment="1">
      <alignment horizontal="center" vertical="center"/>
    </xf>
    <xf numFmtId="0" fontId="9" fillId="33" borderId="46" xfId="0" applyFont="1" applyFill="1" applyBorder="1" applyAlignment="1">
      <alignment horizontal="center" wrapText="1"/>
    </xf>
    <xf numFmtId="0" fontId="17" fillId="0" borderId="53" xfId="0" applyFont="1" applyBorder="1" applyAlignment="1">
      <alignment horizontal="center" wrapText="1"/>
    </xf>
    <xf numFmtId="3" fontId="8" fillId="0" borderId="46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8" fillId="0" borderId="52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64" xfId="0" applyFont="1" applyBorder="1" applyAlignment="1">
      <alignment horizontal="left"/>
    </xf>
    <xf numFmtId="0" fontId="8" fillId="0" borderId="68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0" borderId="86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49" fontId="8" fillId="0" borderId="91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 vertical="center"/>
    </xf>
    <xf numFmtId="49" fontId="8" fillId="0" borderId="86" xfId="0" applyNumberFormat="1" applyFont="1" applyBorder="1" applyAlignment="1">
      <alignment horizontal="center" vertical="center"/>
    </xf>
    <xf numFmtId="49" fontId="8" fillId="0" borderId="83" xfId="0" applyNumberFormat="1" applyFont="1" applyBorder="1" applyAlignment="1">
      <alignment horizontal="center" vertical="center"/>
    </xf>
    <xf numFmtId="49" fontId="8" fillId="0" borderId="87" xfId="0" applyNumberFormat="1" applyFont="1" applyBorder="1" applyAlignment="1">
      <alignment horizontal="center" vertical="center"/>
    </xf>
    <xf numFmtId="49" fontId="8" fillId="0" borderId="84" xfId="0" applyNumberFormat="1" applyFont="1" applyBorder="1" applyAlignment="1">
      <alignment horizontal="center" vertical="center"/>
    </xf>
    <xf numFmtId="0" fontId="8" fillId="0" borderId="68" xfId="0" applyFont="1" applyBorder="1" applyAlignment="1">
      <alignment horizontal="left" wrapText="1"/>
    </xf>
    <xf numFmtId="0" fontId="8" fillId="0" borderId="46" xfId="0" applyFont="1" applyBorder="1" applyAlignment="1">
      <alignment horizontal="left" wrapText="1"/>
    </xf>
    <xf numFmtId="0" fontId="8" fillId="0" borderId="85" xfId="0" applyFont="1" applyBorder="1" applyAlignment="1">
      <alignment horizontal="left" wrapText="1"/>
    </xf>
    <xf numFmtId="0" fontId="8" fillId="0" borderId="53" xfId="0" applyFont="1" applyBorder="1" applyAlignment="1">
      <alignment horizontal="left" wrapText="1"/>
    </xf>
    <xf numFmtId="0" fontId="33" fillId="33" borderId="0" xfId="0" applyFont="1" applyFill="1" applyAlignment="1">
      <alignment horizontal="center" vertical="center" wrapText="1"/>
    </xf>
    <xf numFmtId="0" fontId="33" fillId="33" borderId="46" xfId="0" applyFont="1" applyFill="1" applyBorder="1" applyAlignment="1">
      <alignment horizontal="center" vertical="center" wrapText="1"/>
    </xf>
    <xf numFmtId="0" fontId="33" fillId="33" borderId="46" xfId="0" applyFont="1" applyFill="1" applyBorder="1" applyAlignment="1">
      <alignment horizontal="center" vertical="center"/>
    </xf>
    <xf numFmtId="0" fontId="33" fillId="33" borderId="5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86" xfId="0" applyFont="1" applyBorder="1" applyAlignment="1">
      <alignment horizontal="center" vertical="top" wrapText="1"/>
    </xf>
    <xf numFmtId="0" fontId="7" fillId="0" borderId="82" xfId="0" applyFont="1" applyBorder="1" applyAlignment="1">
      <alignment horizontal="center" vertical="top" wrapText="1"/>
    </xf>
    <xf numFmtId="0" fontId="7" fillId="0" borderId="83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center" vertical="top" wrapText="1"/>
    </xf>
    <xf numFmtId="0" fontId="7" fillId="0" borderId="92" xfId="0" applyFont="1" applyBorder="1" applyAlignment="1">
      <alignment horizontal="center" vertical="top" wrapText="1"/>
    </xf>
    <xf numFmtId="0" fontId="7" fillId="0" borderId="88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0" fillId="34" borderId="48" xfId="0" applyFont="1" applyFill="1" applyBorder="1" applyAlignment="1">
      <alignment horizontal="center" vertical="top" wrapText="1"/>
    </xf>
    <xf numFmtId="0" fontId="30" fillId="34" borderId="53" xfId="0" applyFont="1" applyFill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8" fillId="0" borderId="8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top" wrapText="1"/>
    </xf>
    <xf numFmtId="0" fontId="3" fillId="0" borderId="95" xfId="0" applyFont="1" applyBorder="1" applyAlignment="1">
      <alignment horizontal="center" vertical="top" wrapText="1"/>
    </xf>
    <xf numFmtId="0" fontId="3" fillId="0" borderId="89" xfId="0" applyFont="1" applyBorder="1" applyAlignment="1">
      <alignment horizontal="center" vertical="top" wrapText="1"/>
    </xf>
    <xf numFmtId="0" fontId="7" fillId="0" borderId="87" xfId="0" applyFont="1" applyBorder="1" applyAlignment="1">
      <alignment horizontal="center" vertical="top" wrapText="1"/>
    </xf>
    <xf numFmtId="0" fontId="7" fillId="0" borderId="93" xfId="0" applyFont="1" applyBorder="1" applyAlignment="1">
      <alignment horizontal="center" vertical="top" wrapText="1"/>
    </xf>
    <xf numFmtId="0" fontId="30" fillId="0" borderId="49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5" fillId="0" borderId="94" xfId="0" applyFont="1" applyBorder="1" applyAlignment="1">
      <alignment horizontal="center" vertical="center" wrapText="1"/>
    </xf>
    <xf numFmtId="0" fontId="15" fillId="0" borderId="9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12" fillId="34" borderId="68" xfId="0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59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53" xfId="0" applyFont="1" applyFill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/>
    </xf>
    <xf numFmtId="49" fontId="8" fillId="0" borderId="49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9" fillId="34" borderId="63" xfId="0" applyFont="1" applyFill="1" applyBorder="1" applyAlignment="1">
      <alignment horizontal="center" vertical="top" wrapText="1"/>
    </xf>
    <xf numFmtId="0" fontId="9" fillId="34" borderId="57" xfId="0" applyFont="1" applyFill="1" applyBorder="1" applyAlignment="1">
      <alignment horizontal="center" vertical="top" wrapText="1"/>
    </xf>
    <xf numFmtId="0" fontId="7" fillId="0" borderId="9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12" fillId="34" borderId="45" xfId="0" applyFont="1" applyFill="1" applyBorder="1" applyAlignment="1">
      <alignment horizontal="center" vertical="center" wrapText="1"/>
    </xf>
    <xf numFmtId="0" fontId="12" fillId="34" borderId="96" xfId="0" applyFont="1" applyFill="1" applyBorder="1" applyAlignment="1">
      <alignment horizontal="center" vertical="center" wrapText="1"/>
    </xf>
    <xf numFmtId="0" fontId="12" fillId="34" borderId="92" xfId="0" applyFont="1" applyFill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/>
    </xf>
    <xf numFmtId="4" fontId="8" fillId="0" borderId="41" xfId="0" applyNumberFormat="1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49" fontId="9" fillId="0" borderId="86" xfId="0" applyNumberFormat="1" applyFont="1" applyBorder="1" applyAlignment="1">
      <alignment horizontal="center" vertical="center"/>
    </xf>
    <xf numFmtId="49" fontId="9" fillId="0" borderId="83" xfId="0" applyNumberFormat="1" applyFont="1" applyBorder="1" applyAlignment="1">
      <alignment horizontal="center" vertical="center"/>
    </xf>
    <xf numFmtId="49" fontId="9" fillId="0" borderId="87" xfId="0" applyNumberFormat="1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4" fontId="8" fillId="0" borderId="33" xfId="0" applyNumberFormat="1" applyFont="1" applyBorder="1" applyAlignment="1">
      <alignment horizontal="center"/>
    </xf>
    <xf numFmtId="4" fontId="8" fillId="0" borderId="41" xfId="0" applyNumberFormat="1" applyFont="1" applyBorder="1" applyAlignment="1">
      <alignment horizontal="center"/>
    </xf>
    <xf numFmtId="0" fontId="9" fillId="0" borderId="83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7" fillId="0" borderId="0" xfId="52" applyFont="1" applyFill="1" applyAlignment="1">
      <alignment horizontal="center"/>
      <protection/>
    </xf>
    <xf numFmtId="0" fontId="2" fillId="38" borderId="0" xfId="52" applyFont="1" applyFill="1" applyAlignment="1">
      <alignment horizontal="center"/>
      <protection/>
    </xf>
    <xf numFmtId="0" fontId="2" fillId="0" borderId="63" xfId="52" applyFont="1" applyFill="1" applyBorder="1" applyAlignment="1">
      <alignment horizontal="center" vertical="center" wrapText="1"/>
      <protection/>
    </xf>
    <xf numFmtId="0" fontId="2" fillId="0" borderId="55" xfId="52" applyFont="1" applyFill="1" applyBorder="1" applyAlignment="1">
      <alignment horizontal="center" vertical="center" wrapText="1"/>
      <protection/>
    </xf>
    <xf numFmtId="0" fontId="2" fillId="0" borderId="24" xfId="52" applyFont="1" applyFill="1" applyBorder="1" applyAlignment="1">
      <alignment horizontal="center" vertical="center" wrapText="1"/>
      <protection/>
    </xf>
    <xf numFmtId="0" fontId="2" fillId="0" borderId="23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2" fillId="0" borderId="50" xfId="52" applyFont="1" applyFill="1" applyBorder="1" applyAlignment="1">
      <alignment horizontal="center" vertical="center" wrapText="1"/>
      <protection/>
    </xf>
    <xf numFmtId="0" fontId="0" fillId="0" borderId="61" xfId="52" applyBorder="1" applyAlignment="1">
      <alignment horizontal="center" vertical="center" wrapText="1"/>
      <protection/>
    </xf>
    <xf numFmtId="0" fontId="2" fillId="0" borderId="40" xfId="52" applyFont="1" applyFill="1" applyBorder="1" applyAlignment="1">
      <alignment horizontal="center" vertical="center" wrapText="1"/>
      <protection/>
    </xf>
    <xf numFmtId="0" fontId="2" fillId="0" borderId="44" xfId="52" applyFont="1" applyFill="1" applyBorder="1" applyAlignment="1">
      <alignment horizontal="center" vertical="center" wrapText="1"/>
      <protection/>
    </xf>
    <xf numFmtId="0" fontId="2" fillId="0" borderId="39" xfId="52" applyFont="1" applyFill="1" applyBorder="1" applyAlignment="1">
      <alignment horizontal="center" vertical="center" wrapText="1"/>
      <protection/>
    </xf>
    <xf numFmtId="0" fontId="38" fillId="0" borderId="40" xfId="52" applyFont="1" applyFill="1" applyBorder="1" applyAlignment="1">
      <alignment horizontal="center" vertical="center" wrapText="1"/>
      <protection/>
    </xf>
    <xf numFmtId="0" fontId="38" fillId="0" borderId="44" xfId="52" applyFont="1" applyFill="1" applyBorder="1" applyAlignment="1">
      <alignment horizontal="center" vertical="center" wrapText="1"/>
      <protection/>
    </xf>
    <xf numFmtId="0" fontId="38" fillId="0" borderId="39" xfId="52" applyFont="1" applyFill="1" applyBorder="1" applyAlignment="1">
      <alignment horizontal="center" vertical="center" wrapText="1"/>
      <protection/>
    </xf>
    <xf numFmtId="4" fontId="2" fillId="0" borderId="40" xfId="62" applyNumberFormat="1" applyFont="1" applyFill="1" applyBorder="1" applyAlignment="1">
      <alignment horizontal="center" vertical="center" wrapText="1"/>
    </xf>
    <xf numFmtId="4" fontId="2" fillId="0" borderId="44" xfId="62" applyNumberFormat="1" applyFont="1" applyFill="1" applyBorder="1" applyAlignment="1">
      <alignment horizontal="center" vertical="center" wrapText="1"/>
    </xf>
    <xf numFmtId="4" fontId="2" fillId="0" borderId="39" xfId="62" applyNumberFormat="1" applyFont="1" applyFill="1" applyBorder="1" applyAlignment="1">
      <alignment horizontal="center" vertical="center" wrapText="1"/>
    </xf>
    <xf numFmtId="0" fontId="8" fillId="0" borderId="0" xfId="52" applyFont="1" applyFill="1" applyAlignment="1">
      <alignment horizontal="center"/>
      <protection/>
    </xf>
    <xf numFmtId="0" fontId="1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horizontal="center"/>
      <protection/>
    </xf>
    <xf numFmtId="0" fontId="9" fillId="0" borderId="0" xfId="52" applyFont="1" applyFill="1" applyAlignment="1">
      <alignment horizontal="center"/>
      <protection/>
    </xf>
    <xf numFmtId="0" fontId="38" fillId="0" borderId="0" xfId="52" applyFont="1" applyFill="1" applyAlignment="1">
      <alignment horizontal="center"/>
      <protection/>
    </xf>
    <xf numFmtId="0" fontId="38" fillId="0" borderId="61" xfId="0" applyFont="1" applyBorder="1" applyAlignment="1">
      <alignment horizontal="center" vertical="center" wrapText="1"/>
    </xf>
    <xf numFmtId="0" fontId="38" fillId="0" borderId="62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60" xfId="0" applyFont="1" applyBorder="1" applyAlignment="1">
      <alignment horizontal="center" vertical="center" wrapText="1"/>
    </xf>
    <xf numFmtId="49" fontId="38" fillId="0" borderId="62" xfId="0" applyNumberFormat="1" applyFont="1" applyBorder="1" applyAlignment="1">
      <alignment horizontal="center" vertical="center" wrapText="1"/>
    </xf>
    <xf numFmtId="49" fontId="38" fillId="0" borderId="25" xfId="0" applyNumberFormat="1" applyFont="1" applyBorder="1" applyAlignment="1">
      <alignment horizontal="center" vertical="center" wrapText="1"/>
    </xf>
    <xf numFmtId="49" fontId="38" fillId="0" borderId="60" xfId="0" applyNumberFormat="1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39" borderId="14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0" fillId="0" borderId="53" xfId="0" applyBorder="1" applyAlignment="1">
      <alignment/>
    </xf>
    <xf numFmtId="0" fontId="0" fillId="0" borderId="13" xfId="0" applyBorder="1" applyAlignment="1">
      <alignment/>
    </xf>
    <xf numFmtId="0" fontId="3" fillId="34" borderId="85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/>
    </xf>
    <xf numFmtId="4" fontId="8" fillId="0" borderId="49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/>
    </xf>
    <xf numFmtId="4" fontId="8" fillId="0" borderId="28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_19\Desktop\&#1062;&#1077;&#1085;&#1099;%20&#1085;&#1072;%20&#1089;&#1072;&#1081;&#1090;\&#1055;&#1088;&#1077;&#1081;&#1089;&#1082;&#1091;&#1088;&#1072;&#1085;&#1090;%20&#1089;%2015.04.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7;&#1081;&#1089;&#1082;&#1091;&#1088;&#1072;&#1085;&#1090;%20&#1085;&#1072;%20&#1055;&#1052;%20&#1089;%2001.04.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0;&#1072;\&#1055;&#1088;&#1077;&#1081;&#1089;&#1082;&#1091;&#1088;&#1072;&#1085;&#1090;\&#1087;&#1088;&#1077;&#1081;&#1089;&#1082;&#1091;&#1088;&#1072;&#1085;&#1090;%20&#1089;%2015.04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8.12. Лесомат. ФПС"/>
      <sheetName val="хв"/>
      <sheetName val="мл"/>
      <sheetName val="тл"/>
      <sheetName val="пм"/>
      <sheetName val="Дрова"/>
      <sheetName val="Услуги"/>
      <sheetName val="Охота"/>
      <sheetName val="Столярный"/>
      <sheetName val="заготовки"/>
    </sheetNames>
    <sheetDataSet>
      <sheetData sheetId="1">
        <row r="1">
          <cell r="G1" t="str">
            <v>УТВЕРЖДАЮ</v>
          </cell>
        </row>
        <row r="2">
          <cell r="G2" t="str">
            <v>Директор ГЛХУ "Лельчицкий лесхоз"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08.12. Лесомат. ФПС"/>
      <sheetName val="пм сух строг"/>
      <sheetName val="пм сух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08.12. Лесомат. ФПС"/>
      <sheetName val="хв"/>
      <sheetName val="мл"/>
      <sheetName val="тл"/>
      <sheetName val="пм"/>
      <sheetName val="пм сух"/>
      <sheetName val="Дрова"/>
      <sheetName val="Услуги"/>
      <sheetName val="Охота"/>
      <sheetName val="Столярный"/>
      <sheetName val="заготовки"/>
    </sheetNames>
    <sheetDataSet>
      <sheetData sheetId="1">
        <row r="1">
          <cell r="G1" t="str">
            <v>УТВЕРЖДАЮ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O59"/>
  <sheetViews>
    <sheetView view="pageBreakPreview" zoomScaleSheetLayoutView="100" zoomScalePageLayoutView="0" workbookViewId="0" topLeftCell="B1">
      <selection activeCell="B7" sqref="B7:J7"/>
    </sheetView>
  </sheetViews>
  <sheetFormatPr defaultColWidth="9.00390625" defaultRowHeight="12.75"/>
  <cols>
    <col min="1" max="1" width="1.12109375" style="3" hidden="1" customWidth="1"/>
    <col min="2" max="2" width="15.75390625" style="3" customWidth="1"/>
    <col min="3" max="3" width="18.75390625" style="3" customWidth="1"/>
    <col min="4" max="4" width="15.375" style="3" customWidth="1"/>
    <col min="5" max="5" width="14.75390625" style="3" hidden="1" customWidth="1"/>
    <col min="6" max="6" width="25.25390625" style="3" customWidth="1"/>
    <col min="7" max="7" width="14.75390625" style="3" hidden="1" customWidth="1"/>
    <col min="8" max="8" width="23.625" style="3" customWidth="1"/>
    <col min="9" max="9" width="3.25390625" style="3" hidden="1" customWidth="1"/>
    <col min="10" max="10" width="25.75390625" style="3" customWidth="1"/>
    <col min="11" max="11" width="1.75390625" style="3" customWidth="1"/>
    <col min="12" max="12" width="12.875" style="3" customWidth="1"/>
    <col min="13" max="15" width="12.875" style="151" customWidth="1"/>
    <col min="16" max="16" width="9.00390625" style="3" customWidth="1"/>
    <col min="17" max="16384" width="9.125" style="3" customWidth="1"/>
  </cols>
  <sheetData>
    <row r="1" spans="4:15" ht="18.75">
      <c r="D1" s="16"/>
      <c r="E1" s="16"/>
      <c r="F1" s="16"/>
      <c r="G1" s="17" t="s">
        <v>88</v>
      </c>
      <c r="H1" s="18"/>
      <c r="I1" s="16"/>
      <c r="J1" s="19" t="s">
        <v>88</v>
      </c>
      <c r="K1" s="16"/>
      <c r="L1" s="20"/>
      <c r="M1" s="21"/>
      <c r="N1" s="21"/>
      <c r="O1" s="21"/>
    </row>
    <row r="2" spans="4:15" ht="18.75">
      <c r="D2" s="16"/>
      <c r="E2" s="16"/>
      <c r="F2" s="16"/>
      <c r="G2" s="22" t="s">
        <v>89</v>
      </c>
      <c r="I2" s="16"/>
      <c r="J2" s="19" t="s">
        <v>89</v>
      </c>
      <c r="K2" s="16"/>
      <c r="L2" s="20"/>
      <c r="M2" s="21"/>
      <c r="N2" s="21"/>
      <c r="O2" s="21"/>
    </row>
    <row r="3" spans="4:15" ht="18.75">
      <c r="D3" s="16"/>
      <c r="E3" s="16"/>
      <c r="F3" s="16"/>
      <c r="G3" s="23"/>
      <c r="H3" s="7"/>
      <c r="I3" s="22" t="s">
        <v>90</v>
      </c>
      <c r="J3" s="19" t="s">
        <v>91</v>
      </c>
      <c r="K3" s="16"/>
      <c r="L3" s="20"/>
      <c r="M3" s="21"/>
      <c r="N3" s="21"/>
      <c r="O3" s="21"/>
    </row>
    <row r="4" spans="4:15" ht="18.75">
      <c r="D4" s="16"/>
      <c r="E4" s="16"/>
      <c r="F4" s="16"/>
      <c r="G4" s="7"/>
      <c r="H4" s="7"/>
      <c r="I4" s="22"/>
      <c r="J4" s="24" t="s">
        <v>92</v>
      </c>
      <c r="K4" s="16"/>
      <c r="L4" s="20"/>
      <c r="M4" s="21"/>
      <c r="N4" s="21"/>
      <c r="O4" s="21"/>
    </row>
    <row r="5" spans="4:15" ht="18.75">
      <c r="D5" s="16"/>
      <c r="E5" s="16"/>
      <c r="F5" s="16"/>
      <c r="G5" s="7"/>
      <c r="H5" s="7"/>
      <c r="I5" s="22"/>
      <c r="J5" s="16" t="s">
        <v>93</v>
      </c>
      <c r="K5" s="16"/>
      <c r="L5" s="20"/>
      <c r="M5" s="21"/>
      <c r="N5" s="21"/>
      <c r="O5" s="21"/>
    </row>
    <row r="6" spans="4:15" ht="18.75">
      <c r="D6" s="16"/>
      <c r="E6" s="16"/>
      <c r="F6" s="16"/>
      <c r="G6" s="7"/>
      <c r="H6" s="7"/>
      <c r="I6" s="22"/>
      <c r="J6" s="16"/>
      <c r="K6" s="16"/>
      <c r="L6" s="20"/>
      <c r="M6" s="21"/>
      <c r="N6" s="21"/>
      <c r="O6" s="21"/>
    </row>
    <row r="7" spans="1:15" s="29" customFormat="1" ht="29.25" customHeight="1">
      <c r="A7" s="25"/>
      <c r="B7" s="532" t="s">
        <v>94</v>
      </c>
      <c r="C7" s="532"/>
      <c r="D7" s="532"/>
      <c r="E7" s="532"/>
      <c r="F7" s="532"/>
      <c r="G7" s="532"/>
      <c r="H7" s="532"/>
      <c r="I7" s="532"/>
      <c r="J7" s="532"/>
      <c r="K7" s="26"/>
      <c r="L7" s="27"/>
      <c r="M7" s="28"/>
      <c r="N7" s="28"/>
      <c r="O7" s="28"/>
    </row>
    <row r="8" spans="1:15" s="34" customFormat="1" ht="21" customHeight="1">
      <c r="A8" s="30"/>
      <c r="B8" s="533" t="s">
        <v>95</v>
      </c>
      <c r="C8" s="533"/>
      <c r="D8" s="533"/>
      <c r="E8" s="533"/>
      <c r="F8" s="533"/>
      <c r="G8" s="533"/>
      <c r="H8" s="533"/>
      <c r="I8" s="533"/>
      <c r="J8" s="533"/>
      <c r="K8" s="31"/>
      <c r="L8" s="32"/>
      <c r="M8" s="33"/>
      <c r="N8" s="33"/>
      <c r="O8" s="33"/>
    </row>
    <row r="9" spans="1:15" s="29" customFormat="1" ht="21" customHeight="1">
      <c r="A9" s="35"/>
      <c r="B9" s="534" t="s">
        <v>96</v>
      </c>
      <c r="C9" s="534"/>
      <c r="D9" s="534"/>
      <c r="E9" s="534"/>
      <c r="F9" s="534"/>
      <c r="G9" s="534"/>
      <c r="H9" s="534"/>
      <c r="I9" s="534"/>
      <c r="J9" s="534"/>
      <c r="K9" s="36"/>
      <c r="L9" s="37"/>
      <c r="M9" s="3"/>
      <c r="N9" s="3"/>
      <c r="O9" s="3"/>
    </row>
    <row r="10" spans="1:15" s="29" customFormat="1" ht="21" customHeight="1" thickBot="1">
      <c r="A10" s="38"/>
      <c r="B10" s="525" t="s">
        <v>97</v>
      </c>
      <c r="C10" s="525"/>
      <c r="D10" s="525"/>
      <c r="E10" s="525"/>
      <c r="F10" s="525"/>
      <c r="G10" s="525"/>
      <c r="H10" s="525"/>
      <c r="I10" s="525"/>
      <c r="J10" s="525"/>
      <c r="K10" s="39"/>
      <c r="L10" s="40"/>
      <c r="M10" s="535"/>
      <c r="N10" s="535"/>
      <c r="O10" s="41"/>
    </row>
    <row r="11" spans="1:15" ht="29.25" customHeight="1" thickBot="1">
      <c r="A11" s="42"/>
      <c r="B11" s="536" t="s">
        <v>1</v>
      </c>
      <c r="C11" s="536" t="s">
        <v>2</v>
      </c>
      <c r="D11" s="536" t="s">
        <v>39</v>
      </c>
      <c r="E11" s="43" t="s">
        <v>98</v>
      </c>
      <c r="F11" s="538" t="s">
        <v>99</v>
      </c>
      <c r="G11" s="539"/>
      <c r="H11" s="539"/>
      <c r="I11" s="539"/>
      <c r="J11" s="540"/>
      <c r="K11" s="44"/>
      <c r="L11" s="45"/>
      <c r="M11" s="45"/>
      <c r="N11" s="45"/>
      <c r="O11" s="45"/>
    </row>
    <row r="12" spans="1:15" s="49" customFormat="1" ht="21.75" customHeight="1" thickBot="1">
      <c r="A12" s="46"/>
      <c r="B12" s="537"/>
      <c r="C12" s="537"/>
      <c r="D12" s="537"/>
      <c r="E12" s="541" t="s">
        <v>100</v>
      </c>
      <c r="F12" s="542"/>
      <c r="G12" s="521" t="s">
        <v>101</v>
      </c>
      <c r="H12" s="522"/>
      <c r="I12" s="523" t="s">
        <v>102</v>
      </c>
      <c r="J12" s="521"/>
      <c r="K12" s="47"/>
      <c r="L12" s="48"/>
      <c r="M12" s="48"/>
      <c r="N12" s="48"/>
      <c r="O12" s="48"/>
    </row>
    <row r="13" spans="1:15" s="52" customFormat="1" ht="18.75" customHeight="1">
      <c r="A13" s="50"/>
      <c r="B13" s="524" t="s">
        <v>103</v>
      </c>
      <c r="C13" s="524"/>
      <c r="D13" s="524"/>
      <c r="E13" s="524"/>
      <c r="F13" s="524"/>
      <c r="G13" s="524"/>
      <c r="H13" s="524"/>
      <c r="I13" s="524"/>
      <c r="J13" s="524"/>
      <c r="K13" s="5"/>
      <c r="L13" s="51"/>
      <c r="M13" s="51"/>
      <c r="N13" s="51"/>
      <c r="O13" s="51"/>
    </row>
    <row r="14" spans="1:15" s="52" customFormat="1" ht="24" customHeight="1" thickBot="1">
      <c r="A14" s="50"/>
      <c r="B14" s="525" t="s">
        <v>104</v>
      </c>
      <c r="C14" s="525"/>
      <c r="D14" s="525"/>
      <c r="E14" s="525"/>
      <c r="F14" s="525"/>
      <c r="G14" s="525"/>
      <c r="H14" s="525"/>
      <c r="I14" s="525"/>
      <c r="J14" s="525"/>
      <c r="K14" s="5"/>
      <c r="L14" s="51"/>
      <c r="M14" s="51"/>
      <c r="N14" s="51"/>
      <c r="O14" s="51"/>
    </row>
    <row r="15" spans="1:15" ht="19.5" thickBot="1">
      <c r="A15" s="4"/>
      <c r="B15" s="526" t="s">
        <v>62</v>
      </c>
      <c r="C15" s="507" t="s">
        <v>3</v>
      </c>
      <c r="D15" s="53">
        <v>1</v>
      </c>
      <c r="E15" s="54">
        <f>ROUND(E16*1.2/10,100)*10</f>
        <v>264000</v>
      </c>
      <c r="F15" s="55">
        <f>27.06*1.025</f>
        <v>27.736499999999996</v>
      </c>
      <c r="G15" s="56">
        <f>ROUND(G16*1.2/10,100)*10</f>
        <v>396000</v>
      </c>
      <c r="H15" s="57">
        <f>40.59*1.025</f>
        <v>41.60475</v>
      </c>
      <c r="I15" s="54">
        <f>ROUND(I16*1.2/10,100)*10</f>
        <v>492000</v>
      </c>
      <c r="J15" s="58">
        <f>50.43*1.025</f>
        <v>51.690749999999994</v>
      </c>
      <c r="K15" s="59"/>
      <c r="L15" s="60"/>
      <c r="M15" s="60"/>
      <c r="N15" s="60"/>
      <c r="O15" s="60"/>
    </row>
    <row r="16" spans="1:15" ht="19.5" thickBot="1">
      <c r="A16" s="4"/>
      <c r="B16" s="527"/>
      <c r="C16" s="512"/>
      <c r="D16" s="63">
        <v>2</v>
      </c>
      <c r="E16" s="64">
        <v>220000</v>
      </c>
      <c r="F16" s="65">
        <f>22.55*1.025</f>
        <v>23.11375</v>
      </c>
      <c r="G16" s="64">
        <v>330000</v>
      </c>
      <c r="H16" s="65">
        <f>33.83*1.025</f>
        <v>34.675749999999994</v>
      </c>
      <c r="I16" s="64">
        <v>410000</v>
      </c>
      <c r="J16" s="57">
        <f>42.03*1.025</f>
        <v>43.080749999999995</v>
      </c>
      <c r="K16" s="66"/>
      <c r="L16" s="60"/>
      <c r="M16" s="60"/>
      <c r="N16" s="60"/>
      <c r="O16" s="60"/>
    </row>
    <row r="17" spans="1:15" ht="19.5" thickBot="1">
      <c r="A17" s="4"/>
      <c r="B17" s="527"/>
      <c r="C17" s="512"/>
      <c r="D17" s="63">
        <v>3</v>
      </c>
      <c r="E17" s="56">
        <f>ROUND(E16*0.8/10,100)*10</f>
        <v>176000</v>
      </c>
      <c r="F17" s="65">
        <f>18.04*1.025</f>
        <v>18.490999999999996</v>
      </c>
      <c r="G17" s="56">
        <f>ROUND(G16*0.8/10,100)*10</f>
        <v>264000</v>
      </c>
      <c r="H17" s="57">
        <f>27.06*1.025</f>
        <v>27.736499999999996</v>
      </c>
      <c r="I17" s="54">
        <f>ROUND(I16*0.8/10,100)*10</f>
        <v>328000</v>
      </c>
      <c r="J17" s="58">
        <f>33.62*1.025</f>
        <v>34.460499999999996</v>
      </c>
      <c r="K17" s="59"/>
      <c r="L17" s="60"/>
      <c r="M17" s="60"/>
      <c r="N17" s="60"/>
      <c r="O17" s="60"/>
    </row>
    <row r="18" spans="1:15" ht="19.5" thickBot="1">
      <c r="A18" s="4"/>
      <c r="B18" s="527"/>
      <c r="C18" s="507" t="s">
        <v>4</v>
      </c>
      <c r="D18" s="67">
        <v>1</v>
      </c>
      <c r="E18" s="68">
        <f>ROUND(E19*1.2/10,100)*10</f>
        <v>342000</v>
      </c>
      <c r="F18" s="65">
        <f>35.06*1.025</f>
        <v>35.9365</v>
      </c>
      <c r="G18" s="56">
        <f>ROUND(G19*1.2/10,100)*10</f>
        <v>474000</v>
      </c>
      <c r="H18" s="57">
        <f>48.59*1.025</f>
        <v>49.80475</v>
      </c>
      <c r="I18" s="54">
        <f>ROUND(I19*1.2/10,100)*10</f>
        <v>588000</v>
      </c>
      <c r="J18" s="58">
        <f>60.27*1.025</f>
        <v>61.77675</v>
      </c>
      <c r="K18" s="59"/>
      <c r="L18" s="60"/>
      <c r="M18" s="60"/>
      <c r="N18" s="60"/>
      <c r="O18" s="60"/>
    </row>
    <row r="19" spans="1:15" ht="19.5" thickBot="1">
      <c r="A19" s="4"/>
      <c r="B19" s="527"/>
      <c r="C19" s="512"/>
      <c r="D19" s="53">
        <v>2</v>
      </c>
      <c r="E19" s="69">
        <v>285000</v>
      </c>
      <c r="F19" s="70">
        <f>29.21*1.025</f>
        <v>29.94025</v>
      </c>
      <c r="G19" s="71">
        <v>395000</v>
      </c>
      <c r="H19" s="72">
        <f>40.49*1.025</f>
        <v>41.50225</v>
      </c>
      <c r="I19" s="73">
        <v>490000</v>
      </c>
      <c r="J19" s="74">
        <f>50.23*1.025</f>
        <v>51.48574999999999</v>
      </c>
      <c r="K19" s="66"/>
      <c r="L19" s="60"/>
      <c r="M19" s="60"/>
      <c r="N19" s="60"/>
      <c r="O19" s="60"/>
    </row>
    <row r="20" spans="1:15" ht="19.5" thickBot="1">
      <c r="A20" s="4"/>
      <c r="B20" s="527"/>
      <c r="C20" s="508"/>
      <c r="D20" s="53">
        <v>3</v>
      </c>
      <c r="E20" s="54">
        <f>ROUND(E19*0.8/10,100)*10</f>
        <v>228000</v>
      </c>
      <c r="F20" s="55">
        <f>23.37*1.025</f>
        <v>23.95425</v>
      </c>
      <c r="G20" s="56">
        <f>ROUND(G19*0.8/10,100)*10</f>
        <v>316000</v>
      </c>
      <c r="H20" s="57">
        <f>32.39*1.025</f>
        <v>33.199749999999995</v>
      </c>
      <c r="I20" s="54">
        <f>ROUND(I19*0.8/10,100)*10</f>
        <v>392000</v>
      </c>
      <c r="J20" s="58">
        <f>40.18*1.025</f>
        <v>41.18449999999999</v>
      </c>
      <c r="K20" s="59"/>
      <c r="L20" s="60"/>
      <c r="M20" s="60"/>
      <c r="N20" s="60"/>
      <c r="O20" s="60"/>
    </row>
    <row r="21" spans="1:15" ht="19.5" thickBot="1">
      <c r="A21" s="4"/>
      <c r="B21" s="527"/>
      <c r="C21" s="507" t="s">
        <v>5</v>
      </c>
      <c r="D21" s="75">
        <v>1</v>
      </c>
      <c r="E21" s="76">
        <f>ROUND(E22*1.2/10,100)*10</f>
        <v>402000</v>
      </c>
      <c r="F21" s="70">
        <f>41.21*1.025</f>
        <v>42.240249999999996</v>
      </c>
      <c r="G21" s="77">
        <f>ROUND(G22*1.2/10,100)*10</f>
        <v>534000</v>
      </c>
      <c r="H21" s="72">
        <f>54.74*1.025</f>
        <v>56.1085</v>
      </c>
      <c r="I21" s="76">
        <f>ROUND(I22*1.2/10,100)*10</f>
        <v>666000</v>
      </c>
      <c r="J21" s="74">
        <f>68.27*1.025</f>
        <v>69.97675</v>
      </c>
      <c r="K21" s="59"/>
      <c r="L21" s="60"/>
      <c r="M21" s="60"/>
      <c r="N21" s="60"/>
      <c r="O21" s="60"/>
    </row>
    <row r="22" spans="1:15" ht="19.5" thickBot="1">
      <c r="A22" s="4"/>
      <c r="B22" s="527"/>
      <c r="C22" s="512"/>
      <c r="D22" s="75">
        <v>2</v>
      </c>
      <c r="E22" s="78">
        <v>335000</v>
      </c>
      <c r="F22" s="55">
        <f>34.34*1.025</f>
        <v>35.1985</v>
      </c>
      <c r="G22" s="79">
        <v>445000</v>
      </c>
      <c r="H22" s="65">
        <f>45.61*1.025</f>
        <v>46.750249999999994</v>
      </c>
      <c r="I22" s="64">
        <v>555000</v>
      </c>
      <c r="J22" s="57">
        <f>56.89*1.025</f>
        <v>58.31225</v>
      </c>
      <c r="K22" s="66"/>
      <c r="L22" s="60"/>
      <c r="M22" s="60"/>
      <c r="N22" s="60"/>
      <c r="O22" s="60"/>
    </row>
    <row r="23" spans="1:15" ht="19.5" thickBot="1">
      <c r="A23" s="4"/>
      <c r="B23" s="527"/>
      <c r="C23" s="512"/>
      <c r="D23" s="53">
        <v>3</v>
      </c>
      <c r="E23" s="80">
        <f>ROUND(E22*0.8/10,100)*10</f>
        <v>268000</v>
      </c>
      <c r="F23" s="81">
        <f>27.47*1.025</f>
        <v>28.156749999999995</v>
      </c>
      <c r="G23" s="82">
        <f>ROUND(G22*0.8/10,100)*10</f>
        <v>356000</v>
      </c>
      <c r="H23" s="83">
        <f>36.49*1.025</f>
        <v>37.40225</v>
      </c>
      <c r="I23" s="84">
        <f>ROUND(I22*0.8/10,100)*10</f>
        <v>444000</v>
      </c>
      <c r="J23" s="85">
        <f>45.51*1.025</f>
        <v>46.647749999999995</v>
      </c>
      <c r="K23" s="59"/>
      <c r="L23" s="60"/>
      <c r="M23" s="60"/>
      <c r="N23" s="60"/>
      <c r="O23" s="60"/>
    </row>
    <row r="24" spans="1:15" ht="19.5" thickBot="1">
      <c r="A24" s="4"/>
      <c r="B24" s="527"/>
      <c r="C24" s="529" t="s">
        <v>6</v>
      </c>
      <c r="D24" s="53">
        <v>1</v>
      </c>
      <c r="E24" s="54">
        <f>ROUND(E25*1.2/10,100)*10</f>
        <v>534000</v>
      </c>
      <c r="F24" s="55">
        <f>54.74*1.025</f>
        <v>56.1085</v>
      </c>
      <c r="G24" s="56">
        <f>ROUND(G25*1.2/10,100)*10</f>
        <v>690000</v>
      </c>
      <c r="H24" s="65">
        <f>70.73*1.025</f>
        <v>72.49825</v>
      </c>
      <c r="I24" s="56">
        <f>ROUND(I25*1.2/10,100)*10</f>
        <v>822000</v>
      </c>
      <c r="J24" s="57">
        <f>84.26*1.025</f>
        <v>86.3665</v>
      </c>
      <c r="K24" s="59"/>
      <c r="L24" s="60"/>
      <c r="M24" s="60"/>
      <c r="N24" s="60"/>
      <c r="O24" s="60"/>
    </row>
    <row r="25" spans="1:15" ht="19.5" thickBot="1">
      <c r="A25" s="4"/>
      <c r="B25" s="527"/>
      <c r="C25" s="530"/>
      <c r="D25" s="53">
        <v>2</v>
      </c>
      <c r="E25" s="87">
        <v>445000</v>
      </c>
      <c r="F25" s="55">
        <f>45.61*1.025</f>
        <v>46.750249999999994</v>
      </c>
      <c r="G25" s="64">
        <v>575000</v>
      </c>
      <c r="H25" s="57">
        <f>58.94*1.025</f>
        <v>60.41349999999999</v>
      </c>
      <c r="I25" s="87">
        <v>685000</v>
      </c>
      <c r="J25" s="58">
        <f>70.21*1.025</f>
        <v>71.96524999999998</v>
      </c>
      <c r="K25" s="66"/>
      <c r="L25" s="60"/>
      <c r="M25" s="60"/>
      <c r="N25" s="60"/>
      <c r="O25" s="60"/>
    </row>
    <row r="26" spans="1:15" ht="19.5" thickBot="1">
      <c r="A26" s="4"/>
      <c r="B26" s="528"/>
      <c r="C26" s="531"/>
      <c r="D26" s="89">
        <v>3</v>
      </c>
      <c r="E26" s="90">
        <f>ROUND(E25*0.8/10,100)*10</f>
        <v>356000</v>
      </c>
      <c r="F26" s="81">
        <f>36.49*1.025</f>
        <v>37.40225</v>
      </c>
      <c r="G26" s="84">
        <f>ROUND(G25*0.8/10,100)*10</f>
        <v>460000</v>
      </c>
      <c r="H26" s="83">
        <f>47.15*1.025</f>
        <v>48.32874999999999</v>
      </c>
      <c r="I26" s="84">
        <f>ROUND(I25*0.8/10,100)*10</f>
        <v>548000</v>
      </c>
      <c r="J26" s="85">
        <f>56.17*1.025</f>
        <v>57.57425</v>
      </c>
      <c r="K26" s="59"/>
      <c r="L26" s="60"/>
      <c r="M26" s="60"/>
      <c r="N26" s="60"/>
      <c r="O26" s="60"/>
    </row>
    <row r="27" spans="1:15" ht="16.5" thickBot="1">
      <c r="A27" s="91"/>
      <c r="B27" s="513" t="s">
        <v>105</v>
      </c>
      <c r="C27" s="513"/>
      <c r="D27" s="513"/>
      <c r="E27" s="513"/>
      <c r="F27" s="513"/>
      <c r="G27" s="513"/>
      <c r="H27" s="513"/>
      <c r="I27" s="513"/>
      <c r="J27" s="513"/>
      <c r="K27" s="92"/>
      <c r="L27" s="93"/>
      <c r="M27" s="93"/>
      <c r="N27" s="93"/>
      <c r="O27" s="93"/>
    </row>
    <row r="28" spans="1:15" ht="19.5" thickBot="1">
      <c r="A28" s="4"/>
      <c r="B28" s="493" t="s">
        <v>106</v>
      </c>
      <c r="C28" s="507" t="s">
        <v>6</v>
      </c>
      <c r="D28" s="75" t="s">
        <v>107</v>
      </c>
      <c r="E28" s="94">
        <f>ROUND(E29*1.2/10,100)*10</f>
        <v>666000</v>
      </c>
      <c r="F28" s="95">
        <f>68.27*1.025</f>
        <v>69.97675</v>
      </c>
      <c r="G28" s="96">
        <f>ROUND(G29*1.2/10,100)*10</f>
        <v>798000</v>
      </c>
      <c r="H28" s="65">
        <f>81.8*1.025</f>
        <v>83.84499999999998</v>
      </c>
      <c r="I28" s="96">
        <f>ROUND(I29*1.2/10,100)*10</f>
        <v>936000</v>
      </c>
      <c r="J28" s="97">
        <f>95.94*1.025</f>
        <v>98.3385</v>
      </c>
      <c r="K28" s="59"/>
      <c r="L28" s="60"/>
      <c r="M28" s="60"/>
      <c r="N28" s="60"/>
      <c r="O28" s="60"/>
    </row>
    <row r="29" spans="1:15" ht="19.5" thickBot="1">
      <c r="A29" s="4"/>
      <c r="B29" s="511"/>
      <c r="C29" s="512"/>
      <c r="D29" s="53" t="s">
        <v>108</v>
      </c>
      <c r="E29" s="98">
        <v>555000</v>
      </c>
      <c r="F29" s="55">
        <f>56.89*1.025</f>
        <v>58.31225</v>
      </c>
      <c r="G29" s="99">
        <v>665000</v>
      </c>
      <c r="H29" s="72">
        <f>68.16*1.025</f>
        <v>69.86399999999999</v>
      </c>
      <c r="I29" s="98">
        <v>780000</v>
      </c>
      <c r="J29" s="58">
        <f>79.95*1.025</f>
        <v>81.94874999999999</v>
      </c>
      <c r="K29" s="66"/>
      <c r="L29" s="60"/>
      <c r="M29" s="60"/>
      <c r="N29" s="60"/>
      <c r="O29" s="60"/>
    </row>
    <row r="30" spans="1:15" ht="19.5" thickBot="1">
      <c r="A30" s="4"/>
      <c r="B30" s="494"/>
      <c r="C30" s="508"/>
      <c r="D30" s="89" t="s">
        <v>77</v>
      </c>
      <c r="E30" s="80">
        <f>ROUND(E29*0.8/10,100)*10</f>
        <v>444000</v>
      </c>
      <c r="F30" s="55">
        <f>45.51*1.025</f>
        <v>46.647749999999995</v>
      </c>
      <c r="G30" s="82">
        <f>ROUND(G29*0.8/10,100)*10</f>
        <v>532000</v>
      </c>
      <c r="H30" s="65">
        <f>54.53*1.025</f>
        <v>55.893249999999995</v>
      </c>
      <c r="I30" s="82">
        <f>ROUND(I29*0.8/10,100)*10</f>
        <v>624000</v>
      </c>
      <c r="J30" s="85">
        <f>63.96*1.025</f>
        <v>65.559</v>
      </c>
      <c r="K30" s="59"/>
      <c r="L30" s="60"/>
      <c r="M30" s="60"/>
      <c r="N30" s="60"/>
      <c r="O30" s="60"/>
    </row>
    <row r="31" spans="1:15" ht="18.75" customHeight="1" thickBot="1">
      <c r="A31" s="4"/>
      <c r="B31" s="514" t="s">
        <v>109</v>
      </c>
      <c r="C31" s="514"/>
      <c r="D31" s="514"/>
      <c r="E31" s="514"/>
      <c r="F31" s="514"/>
      <c r="G31" s="514"/>
      <c r="H31" s="514"/>
      <c r="I31" s="514"/>
      <c r="J31" s="514"/>
      <c r="K31" s="59"/>
      <c r="L31" s="60"/>
      <c r="M31" s="60"/>
      <c r="N31" s="60"/>
      <c r="O31" s="60"/>
    </row>
    <row r="32" spans="1:15" ht="18.75" customHeight="1" thickBot="1">
      <c r="A32" s="4"/>
      <c r="B32" s="515" t="s">
        <v>62</v>
      </c>
      <c r="C32" s="518" t="s">
        <v>110</v>
      </c>
      <c r="D32" s="100">
        <v>1</v>
      </c>
      <c r="E32" s="101"/>
      <c r="F32" s="102">
        <v>39.09</v>
      </c>
      <c r="G32" s="100"/>
      <c r="H32" s="103">
        <v>52.96</v>
      </c>
      <c r="I32" s="104"/>
      <c r="J32" s="100">
        <v>65.8</v>
      </c>
      <c r="K32" s="59"/>
      <c r="L32" s="60"/>
      <c r="M32" s="60"/>
      <c r="N32" s="60"/>
      <c r="O32" s="60"/>
    </row>
    <row r="33" spans="1:15" ht="18.75" customHeight="1" thickBot="1">
      <c r="A33" s="4"/>
      <c r="B33" s="516"/>
      <c r="C33" s="519"/>
      <c r="D33" s="105">
        <v>2</v>
      </c>
      <c r="E33" s="106"/>
      <c r="F33" s="107">
        <v>32.6</v>
      </c>
      <c r="G33" s="105"/>
      <c r="H33" s="108">
        <v>44.13</v>
      </c>
      <c r="I33" s="109"/>
      <c r="J33" s="105">
        <v>54.9</v>
      </c>
      <c r="K33" s="59"/>
      <c r="L33" s="60"/>
      <c r="M33" s="60"/>
      <c r="N33" s="60"/>
      <c r="O33" s="60"/>
    </row>
    <row r="34" spans="1:15" ht="18.75" customHeight="1" thickBot="1">
      <c r="A34" s="4"/>
      <c r="B34" s="517"/>
      <c r="C34" s="520"/>
      <c r="D34" s="110">
        <v>3</v>
      </c>
      <c r="E34" s="111"/>
      <c r="F34" s="112">
        <v>26.06</v>
      </c>
      <c r="G34" s="110"/>
      <c r="H34" s="113">
        <v>35.3</v>
      </c>
      <c r="I34" s="114"/>
      <c r="J34" s="115">
        <v>43.92</v>
      </c>
      <c r="K34" s="59"/>
      <c r="L34" s="60"/>
      <c r="M34" s="60"/>
      <c r="N34" s="60"/>
      <c r="O34" s="60"/>
    </row>
    <row r="35" spans="1:15" ht="18.75">
      <c r="A35" s="116"/>
      <c r="B35" s="497" t="s">
        <v>111</v>
      </c>
      <c r="C35" s="497"/>
      <c r="D35" s="497"/>
      <c r="E35" s="497"/>
      <c r="F35" s="497"/>
      <c r="G35" s="497"/>
      <c r="H35" s="497"/>
      <c r="I35" s="497"/>
      <c r="J35" s="497"/>
      <c r="K35" s="117"/>
      <c r="L35" s="118"/>
      <c r="M35" s="118"/>
      <c r="N35" s="118"/>
      <c r="O35" s="118"/>
    </row>
    <row r="36" spans="1:15" ht="16.5" thickBot="1">
      <c r="A36" s="91"/>
      <c r="B36" s="492" t="s">
        <v>112</v>
      </c>
      <c r="C36" s="492"/>
      <c r="D36" s="492"/>
      <c r="E36" s="492"/>
      <c r="F36" s="492"/>
      <c r="G36" s="492"/>
      <c r="H36" s="492"/>
      <c r="I36" s="492"/>
      <c r="J36" s="492"/>
      <c r="K36" s="92"/>
      <c r="L36" s="118"/>
      <c r="M36" s="118"/>
      <c r="N36" s="118"/>
      <c r="O36" s="118"/>
    </row>
    <row r="37" spans="1:15" ht="19.5" thickBot="1">
      <c r="A37" s="4"/>
      <c r="B37" s="493" t="s">
        <v>30</v>
      </c>
      <c r="C37" s="507" t="s">
        <v>7</v>
      </c>
      <c r="D37" s="63" t="s">
        <v>107</v>
      </c>
      <c r="E37" s="96">
        <f>ROUND(E38*1.2/10,100)*10</f>
        <v>222000</v>
      </c>
      <c r="F37" s="97">
        <f>22.76*1.025</f>
        <v>23.329</v>
      </c>
      <c r="G37" s="119">
        <f>ROUND(G38*1.2/10,100)*10</f>
        <v>354000</v>
      </c>
      <c r="H37" s="120">
        <f>36.29*1.025</f>
        <v>37.19725</v>
      </c>
      <c r="I37" s="119">
        <f>ROUND(I38*1.2/10,100)*10</f>
        <v>456000</v>
      </c>
      <c r="J37" s="120">
        <f>46.74*1.025</f>
        <v>47.9085</v>
      </c>
      <c r="K37" s="59"/>
      <c r="L37" s="60"/>
      <c r="M37" s="60"/>
      <c r="N37" s="60"/>
      <c r="O37" s="60"/>
    </row>
    <row r="38" spans="1:15" ht="19.5" thickBot="1">
      <c r="A38" s="4"/>
      <c r="B38" s="511"/>
      <c r="C38" s="512"/>
      <c r="D38" s="53" t="s">
        <v>108</v>
      </c>
      <c r="E38" s="121">
        <v>185000</v>
      </c>
      <c r="F38" s="57">
        <f>18.96*1.025</f>
        <v>19.433999999999997</v>
      </c>
      <c r="G38" s="87">
        <v>295000</v>
      </c>
      <c r="H38" s="58">
        <f>30.24*1.025</f>
        <v>30.995999999999995</v>
      </c>
      <c r="I38" s="87">
        <v>380000</v>
      </c>
      <c r="J38" s="58">
        <f>38.95*1.025</f>
        <v>39.92375</v>
      </c>
      <c r="K38" s="66"/>
      <c r="L38" s="60"/>
      <c r="M38" s="60"/>
      <c r="N38" s="60"/>
      <c r="O38" s="60"/>
    </row>
    <row r="39" spans="1:15" ht="19.5" thickBot="1">
      <c r="A39" s="4"/>
      <c r="B39" s="494"/>
      <c r="C39" s="508"/>
      <c r="D39" s="89" t="s">
        <v>77</v>
      </c>
      <c r="E39" s="80">
        <f>ROUND(E38*0.8/10,100)*10</f>
        <v>148000</v>
      </c>
      <c r="F39" s="81">
        <f>15.17*1.025</f>
        <v>15.549249999999999</v>
      </c>
      <c r="G39" s="84">
        <f>ROUND(G38*0.8/10,100)*10</f>
        <v>236000</v>
      </c>
      <c r="H39" s="85">
        <f>24.19*1.025</f>
        <v>24.79475</v>
      </c>
      <c r="I39" s="90">
        <f>ROUND(I38*0.8/10,100)*10</f>
        <v>304000</v>
      </c>
      <c r="J39" s="122">
        <f>31.16*1.025</f>
        <v>31.938999999999997</v>
      </c>
      <c r="K39" s="59"/>
      <c r="L39" s="60"/>
      <c r="M39" s="60"/>
      <c r="N39" s="60"/>
      <c r="O39" s="60"/>
    </row>
    <row r="40" spans="1:15" ht="18.75">
      <c r="A40" s="116"/>
      <c r="B40" s="497" t="s">
        <v>113</v>
      </c>
      <c r="C40" s="497"/>
      <c r="D40" s="497"/>
      <c r="E40" s="497"/>
      <c r="F40" s="497"/>
      <c r="G40" s="497"/>
      <c r="H40" s="497"/>
      <c r="I40" s="497"/>
      <c r="J40" s="497"/>
      <c r="K40" s="117"/>
      <c r="L40" s="118"/>
      <c r="M40" s="118"/>
      <c r="N40" s="118"/>
      <c r="O40" s="118"/>
    </row>
    <row r="41" spans="1:15" ht="16.5" thickBot="1">
      <c r="A41" s="91"/>
      <c r="B41" s="492" t="s">
        <v>114</v>
      </c>
      <c r="C41" s="492"/>
      <c r="D41" s="492"/>
      <c r="E41" s="492"/>
      <c r="F41" s="492"/>
      <c r="G41" s="492"/>
      <c r="H41" s="492"/>
      <c r="I41" s="492"/>
      <c r="J41" s="492"/>
      <c r="K41" s="92"/>
      <c r="L41" s="118"/>
      <c r="M41" s="118"/>
      <c r="N41" s="118"/>
      <c r="O41" s="118"/>
    </row>
    <row r="42" spans="1:15" ht="19.5" thickBot="1">
      <c r="A42" s="4"/>
      <c r="B42" s="493" t="s">
        <v>31</v>
      </c>
      <c r="C42" s="495" t="s">
        <v>7</v>
      </c>
      <c r="D42" s="53" t="s">
        <v>107</v>
      </c>
      <c r="E42" s="54">
        <f>ROUND(E43*1.2/10,100)*10</f>
        <v>666000</v>
      </c>
      <c r="F42" s="124">
        <f>68.27*1.025</f>
        <v>69.97675</v>
      </c>
      <c r="G42" s="87">
        <f>ROUND(G43*1.2/10,100)*10</f>
        <v>798000</v>
      </c>
      <c r="H42" s="58">
        <f>81.8*1.025</f>
        <v>83.84499999999998</v>
      </c>
      <c r="I42" s="87">
        <f>ROUND(I43*1.2/10,100)*10</f>
        <v>936000</v>
      </c>
      <c r="J42" s="58">
        <f>95.94*1.05</f>
        <v>100.737</v>
      </c>
      <c r="K42" s="59"/>
      <c r="L42" s="60"/>
      <c r="M42" s="60"/>
      <c r="N42" s="60"/>
      <c r="O42" s="60"/>
    </row>
    <row r="43" spans="1:15" ht="19.5" thickBot="1">
      <c r="A43" s="4"/>
      <c r="B43" s="494"/>
      <c r="C43" s="496"/>
      <c r="D43" s="126" t="s">
        <v>108</v>
      </c>
      <c r="E43" s="127">
        <v>555000</v>
      </c>
      <c r="F43" s="57">
        <f>56.89*1.025</f>
        <v>58.31225</v>
      </c>
      <c r="G43" s="128">
        <v>665000</v>
      </c>
      <c r="H43" s="58">
        <f>68.16*1.025</f>
        <v>69.86399999999999</v>
      </c>
      <c r="I43" s="128">
        <v>780000</v>
      </c>
      <c r="J43" s="122">
        <f>79.95*1.025</f>
        <v>81.94874999999999</v>
      </c>
      <c r="K43" s="66"/>
      <c r="L43" s="60"/>
      <c r="M43" s="60"/>
      <c r="N43" s="60"/>
      <c r="O43" s="60"/>
    </row>
    <row r="44" spans="1:15" ht="18.75">
      <c r="A44" s="116"/>
      <c r="B44" s="129" t="s">
        <v>115</v>
      </c>
      <c r="C44" s="129"/>
      <c r="D44" s="129"/>
      <c r="E44" s="129"/>
      <c r="F44" s="129"/>
      <c r="G44" s="129"/>
      <c r="H44" s="129"/>
      <c r="I44" s="129"/>
      <c r="J44" s="130"/>
      <c r="K44" s="117"/>
      <c r="L44" s="118"/>
      <c r="M44" s="118"/>
      <c r="N44" s="118"/>
      <c r="O44" s="118"/>
    </row>
    <row r="45" spans="1:15" ht="16.5" thickBot="1">
      <c r="A45" s="91"/>
      <c r="B45" s="492" t="s">
        <v>8</v>
      </c>
      <c r="C45" s="492"/>
      <c r="D45" s="492"/>
      <c r="E45" s="492"/>
      <c r="F45" s="492"/>
      <c r="G45" s="492"/>
      <c r="H45" s="492"/>
      <c r="I45" s="492"/>
      <c r="J45" s="492"/>
      <c r="K45" s="92"/>
      <c r="L45" s="118"/>
      <c r="M45" s="118"/>
      <c r="N45" s="118"/>
      <c r="O45" s="118"/>
    </row>
    <row r="46" spans="1:15" ht="22.5" customHeight="1" thickBot="1">
      <c r="A46" s="4"/>
      <c r="B46" s="493" t="s">
        <v>116</v>
      </c>
      <c r="C46" s="507" t="s">
        <v>10</v>
      </c>
      <c r="D46" s="53" t="s">
        <v>108</v>
      </c>
      <c r="E46" s="500">
        <v>140000</v>
      </c>
      <c r="F46" s="502">
        <f>14.35*1.025*1.025</f>
        <v>15.076468749999997</v>
      </c>
      <c r="G46" s="500">
        <v>240000</v>
      </c>
      <c r="H46" s="504">
        <f>24.6*1.025</f>
        <v>25.215</v>
      </c>
      <c r="I46" s="509">
        <v>310000</v>
      </c>
      <c r="J46" s="498">
        <f>31.78*1.025</f>
        <v>32.5745</v>
      </c>
      <c r="K46" s="132"/>
      <c r="L46" s="506"/>
      <c r="M46" s="506"/>
      <c r="N46" s="506"/>
      <c r="O46" s="506"/>
    </row>
    <row r="47" spans="1:15" ht="23.25" customHeight="1" thickBot="1">
      <c r="A47" s="4"/>
      <c r="B47" s="494"/>
      <c r="C47" s="508"/>
      <c r="D47" s="53" t="s">
        <v>77</v>
      </c>
      <c r="E47" s="501"/>
      <c r="F47" s="503"/>
      <c r="G47" s="501"/>
      <c r="H47" s="505"/>
      <c r="I47" s="510"/>
      <c r="J47" s="499"/>
      <c r="K47" s="132"/>
      <c r="L47" s="506"/>
      <c r="M47" s="506"/>
      <c r="N47" s="506"/>
      <c r="O47" s="506"/>
    </row>
    <row r="48" spans="1:15" ht="18.75">
      <c r="A48" s="116"/>
      <c r="B48" s="497" t="s">
        <v>9</v>
      </c>
      <c r="C48" s="497"/>
      <c r="D48" s="497"/>
      <c r="E48" s="497"/>
      <c r="F48" s="497"/>
      <c r="G48" s="497"/>
      <c r="H48" s="497"/>
      <c r="I48" s="497"/>
      <c r="J48" s="497"/>
      <c r="K48" s="117"/>
      <c r="L48" s="118"/>
      <c r="M48" s="118"/>
      <c r="N48" s="118"/>
      <c r="O48" s="118"/>
    </row>
    <row r="49" spans="1:15" ht="16.5" thickBot="1">
      <c r="A49" s="91"/>
      <c r="B49" s="492" t="s">
        <v>117</v>
      </c>
      <c r="C49" s="492"/>
      <c r="D49" s="492"/>
      <c r="E49" s="492"/>
      <c r="F49" s="492"/>
      <c r="G49" s="492"/>
      <c r="H49" s="492"/>
      <c r="I49" s="492"/>
      <c r="J49" s="492"/>
      <c r="K49" s="92"/>
      <c r="L49" s="118"/>
      <c r="M49" s="118"/>
      <c r="N49" s="118"/>
      <c r="O49" s="118"/>
    </row>
    <row r="50" spans="1:15" ht="19.5" thickBot="1">
      <c r="A50" s="4"/>
      <c r="B50" s="493" t="s">
        <v>29</v>
      </c>
      <c r="C50" s="495" t="s">
        <v>11</v>
      </c>
      <c r="D50" s="123" t="s">
        <v>108</v>
      </c>
      <c r="E50" s="134">
        <v>150000</v>
      </c>
      <c r="F50" s="135">
        <f>15.38*1.025</f>
        <v>15.7645</v>
      </c>
      <c r="G50" s="136">
        <v>250000</v>
      </c>
      <c r="H50" s="137">
        <f>25.63*1.025</f>
        <v>26.270749999999996</v>
      </c>
      <c r="I50" s="138">
        <v>320000</v>
      </c>
      <c r="J50" s="139">
        <f>32.8*1.025</f>
        <v>33.62</v>
      </c>
      <c r="K50" s="66"/>
      <c r="L50" s="60"/>
      <c r="M50" s="60"/>
      <c r="N50" s="60"/>
      <c r="O50" s="60"/>
    </row>
    <row r="51" spans="1:15" ht="19.5" thickBot="1">
      <c r="A51" s="4"/>
      <c r="B51" s="494"/>
      <c r="C51" s="496"/>
      <c r="D51" s="53" t="s">
        <v>77</v>
      </c>
      <c r="E51" s="84">
        <f>ROUND(E50*0.8/10,100)*10</f>
        <v>120000</v>
      </c>
      <c r="F51" s="140">
        <f>12.3*1.025</f>
        <v>12.6075</v>
      </c>
      <c r="G51" s="141">
        <f>ROUND(G50*0.8/10,100)*10</f>
        <v>200000</v>
      </c>
      <c r="H51" s="140">
        <f>20.5*1.025</f>
        <v>21.0125</v>
      </c>
      <c r="I51" s="133">
        <f>ROUND(I50*0.8/10,100)*10</f>
        <v>256000</v>
      </c>
      <c r="J51" s="142">
        <f>26.65*1.025</f>
        <v>27.316249999999997</v>
      </c>
      <c r="K51" s="59"/>
      <c r="L51" s="60"/>
      <c r="M51" s="60"/>
      <c r="N51" s="60"/>
      <c r="O51" s="60"/>
    </row>
    <row r="52" spans="1:15" ht="18.75">
      <c r="A52" s="116"/>
      <c r="B52" s="497" t="s">
        <v>66</v>
      </c>
      <c r="C52" s="497"/>
      <c r="D52" s="497"/>
      <c r="E52" s="497"/>
      <c r="F52" s="497"/>
      <c r="G52" s="497"/>
      <c r="H52" s="497"/>
      <c r="I52" s="497"/>
      <c r="J52" s="497"/>
      <c r="K52" s="117"/>
      <c r="L52" s="118"/>
      <c r="M52" s="118"/>
      <c r="N52" s="118"/>
      <c r="O52" s="118"/>
    </row>
    <row r="53" spans="1:15" ht="16.5" thickBot="1">
      <c r="A53" s="91"/>
      <c r="B53" s="492" t="s">
        <v>28</v>
      </c>
      <c r="C53" s="492"/>
      <c r="D53" s="492"/>
      <c r="E53" s="492"/>
      <c r="F53" s="492"/>
      <c r="G53" s="492"/>
      <c r="H53" s="492"/>
      <c r="I53" s="492"/>
      <c r="J53" s="492"/>
      <c r="K53" s="92"/>
      <c r="L53" s="118"/>
      <c r="M53" s="118"/>
      <c r="N53" s="118"/>
      <c r="O53" s="118"/>
    </row>
    <row r="54" spans="1:15" ht="32.25" customHeight="1" thickBot="1">
      <c r="A54" s="4"/>
      <c r="B54" s="143" t="s">
        <v>36</v>
      </c>
      <c r="C54" s="144" t="s">
        <v>37</v>
      </c>
      <c r="D54" s="145"/>
      <c r="E54" s="136">
        <v>145000</v>
      </c>
      <c r="F54" s="146">
        <f>14.86*1.025</f>
        <v>15.231499999999999</v>
      </c>
      <c r="G54" s="136">
        <v>260000</v>
      </c>
      <c r="H54" s="147">
        <f>26.65*1.025</f>
        <v>27.316249999999997</v>
      </c>
      <c r="I54" s="138">
        <v>330000</v>
      </c>
      <c r="J54" s="147">
        <f>33.83*1.025</f>
        <v>34.675749999999994</v>
      </c>
      <c r="K54" s="132"/>
      <c r="L54" s="60"/>
      <c r="M54" s="60"/>
      <c r="N54" s="60"/>
      <c r="O54" s="60"/>
    </row>
    <row r="56" spans="1:10" ht="18.75">
      <c r="A56" s="8" t="s">
        <v>118</v>
      </c>
      <c r="B56" s="8" t="s">
        <v>119</v>
      </c>
      <c r="C56" s="8"/>
      <c r="D56" s="8"/>
      <c r="E56" s="148"/>
      <c r="G56" s="149"/>
      <c r="H56" s="149"/>
      <c r="J56" s="150" t="s">
        <v>120</v>
      </c>
    </row>
    <row r="59" spans="9:10" ht="12.75">
      <c r="I59" s="149"/>
      <c r="J59" s="149"/>
    </row>
  </sheetData>
  <sheetProtection/>
  <mergeCells count="52">
    <mergeCell ref="B7:J7"/>
    <mergeCell ref="B8:J8"/>
    <mergeCell ref="B9:J9"/>
    <mergeCell ref="B10:J10"/>
    <mergeCell ref="M10:N10"/>
    <mergeCell ref="B11:B12"/>
    <mergeCell ref="C11:C12"/>
    <mergeCell ref="D11:D12"/>
    <mergeCell ref="F11:J11"/>
    <mergeCell ref="E12:F12"/>
    <mergeCell ref="G12:H12"/>
    <mergeCell ref="I12:J12"/>
    <mergeCell ref="B13:J13"/>
    <mergeCell ref="B14:J14"/>
    <mergeCell ref="B15:B26"/>
    <mergeCell ref="C15:C17"/>
    <mergeCell ref="C18:C20"/>
    <mergeCell ref="C21:C23"/>
    <mergeCell ref="C24:C26"/>
    <mergeCell ref="B27:J27"/>
    <mergeCell ref="B28:B30"/>
    <mergeCell ref="C28:C30"/>
    <mergeCell ref="B31:J31"/>
    <mergeCell ref="B32:B34"/>
    <mergeCell ref="C32:C34"/>
    <mergeCell ref="I46:I47"/>
    <mergeCell ref="B35:J35"/>
    <mergeCell ref="B36:J36"/>
    <mergeCell ref="B37:B39"/>
    <mergeCell ref="C37:C39"/>
    <mergeCell ref="B40:J40"/>
    <mergeCell ref="B41:J41"/>
    <mergeCell ref="L46:L47"/>
    <mergeCell ref="M46:M47"/>
    <mergeCell ref="N46:N47"/>
    <mergeCell ref="O46:O47"/>
    <mergeCell ref="B48:J48"/>
    <mergeCell ref="B42:B43"/>
    <mergeCell ref="C42:C43"/>
    <mergeCell ref="B45:J45"/>
    <mergeCell ref="B46:B47"/>
    <mergeCell ref="C46:C47"/>
    <mergeCell ref="B49:J49"/>
    <mergeCell ref="B50:B51"/>
    <mergeCell ref="C50:C51"/>
    <mergeCell ref="B52:J52"/>
    <mergeCell ref="B53:J53"/>
    <mergeCell ref="J46:J47"/>
    <mergeCell ref="E46:E47"/>
    <mergeCell ref="F46:F47"/>
    <mergeCell ref="G46:G47"/>
    <mergeCell ref="H46:H47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4"/>
  <sheetViews>
    <sheetView view="pageBreakPreview" zoomScaleSheetLayoutView="100" zoomScalePageLayoutView="0" workbookViewId="0" topLeftCell="B1">
      <selection activeCell="B6" sqref="B6:I6"/>
    </sheetView>
  </sheetViews>
  <sheetFormatPr defaultColWidth="9.00390625" defaultRowHeight="12.75"/>
  <cols>
    <col min="1" max="1" width="9.125" style="0" hidden="1" customWidth="1"/>
    <col min="2" max="2" width="13.375" style="0" customWidth="1"/>
    <col min="3" max="3" width="16.125" style="0" customWidth="1"/>
    <col min="4" max="4" width="11.125" style="0" customWidth="1"/>
    <col min="5" max="5" width="9.125" style="0" hidden="1" customWidth="1"/>
    <col min="6" max="6" width="12.00390625" style="0" hidden="1" customWidth="1"/>
    <col min="7" max="7" width="30.625" style="0" customWidth="1"/>
    <col min="8" max="8" width="13.25390625" style="0" hidden="1" customWidth="1"/>
    <col min="9" max="9" width="29.625" style="0" customWidth="1"/>
    <col min="10" max="11" width="0" style="0" hidden="1" customWidth="1"/>
    <col min="12" max="12" width="11.625" style="0" hidden="1" customWidth="1"/>
    <col min="13" max="13" width="11.125" style="0" hidden="1" customWidth="1"/>
    <col min="14" max="14" width="11.625" style="0" hidden="1" customWidth="1"/>
    <col min="15" max="15" width="9.125" style="0" hidden="1" customWidth="1"/>
  </cols>
  <sheetData>
    <row r="1" spans="4:11" s="3" customFormat="1" ht="18.75">
      <c r="D1" s="16"/>
      <c r="E1" s="16"/>
      <c r="F1" s="16"/>
      <c r="H1" s="18"/>
      <c r="I1" s="19" t="str">
        <f>'[1]хв'!$G$1</f>
        <v>УТВЕРЖДАЮ</v>
      </c>
      <c r="J1" s="16"/>
      <c r="K1" s="154"/>
    </row>
    <row r="2" spans="4:15" s="3" customFormat="1" ht="18.75">
      <c r="D2" s="16"/>
      <c r="E2" s="16"/>
      <c r="F2" s="16"/>
      <c r="H2" s="22"/>
      <c r="I2" s="19" t="s">
        <v>89</v>
      </c>
      <c r="J2" s="7"/>
      <c r="K2" s="232"/>
      <c r="L2" s="233"/>
      <c r="M2" s="233"/>
      <c r="N2" s="233"/>
      <c r="O2" s="233"/>
    </row>
    <row r="3" spans="4:15" s="3" customFormat="1" ht="18.75">
      <c r="D3" s="16"/>
      <c r="E3" s="16"/>
      <c r="F3" s="16"/>
      <c r="G3" s="197"/>
      <c r="H3" s="196"/>
      <c r="I3" s="234" t="s">
        <v>151</v>
      </c>
      <c r="J3" s="7"/>
      <c r="K3" s="235"/>
      <c r="L3" s="233"/>
      <c r="M3" s="233"/>
      <c r="N3" s="233"/>
      <c r="O3" s="233"/>
    </row>
    <row r="4" spans="4:15" s="3" customFormat="1" ht="15.75">
      <c r="D4" s="16"/>
      <c r="E4" s="16"/>
      <c r="F4" s="16"/>
      <c r="G4" s="16"/>
      <c r="H4" s="156"/>
      <c r="I4" s="16" t="s">
        <v>92</v>
      </c>
      <c r="J4" s="7"/>
      <c r="K4" s="235"/>
      <c r="L4" s="233"/>
      <c r="M4" s="233"/>
      <c r="N4" s="233"/>
      <c r="O4" s="233"/>
    </row>
    <row r="5" spans="4:15" s="3" customFormat="1" ht="15.75">
      <c r="D5" s="16"/>
      <c r="E5" s="16"/>
      <c r="F5" s="16"/>
      <c r="G5" s="16"/>
      <c r="H5" s="156"/>
      <c r="I5" s="16" t="s">
        <v>93</v>
      </c>
      <c r="J5" s="7"/>
      <c r="K5" s="235"/>
      <c r="L5" s="233"/>
      <c r="M5" s="233"/>
      <c r="N5" s="233"/>
      <c r="O5" s="233"/>
    </row>
    <row r="6" spans="1:15" s="29" customFormat="1" ht="21.75" customHeight="1">
      <c r="A6" s="25"/>
      <c r="B6" s="532" t="s">
        <v>276</v>
      </c>
      <c r="C6" s="532"/>
      <c r="D6" s="532"/>
      <c r="E6" s="532"/>
      <c r="F6" s="532"/>
      <c r="G6" s="532"/>
      <c r="H6" s="532"/>
      <c r="I6" s="532"/>
      <c r="J6" s="236"/>
      <c r="K6" s="157"/>
      <c r="L6" s="157"/>
      <c r="M6" s="157"/>
      <c r="N6" s="161"/>
      <c r="O6" s="161"/>
    </row>
    <row r="7" spans="1:15" s="29" customFormat="1" ht="21" customHeight="1">
      <c r="A7" s="158"/>
      <c r="B7" s="643" t="s">
        <v>277</v>
      </c>
      <c r="C7" s="643"/>
      <c r="D7" s="643"/>
      <c r="E7" s="643"/>
      <c r="F7" s="643"/>
      <c r="G7" s="643"/>
      <c r="H7" s="643"/>
      <c r="I7" s="643"/>
      <c r="J7" s="159"/>
      <c r="K7" s="232"/>
      <c r="L7" s="161"/>
      <c r="M7" s="161"/>
      <c r="N7" s="161"/>
      <c r="O7" s="161"/>
    </row>
    <row r="8" spans="1:15" s="3" customFormat="1" ht="21" customHeight="1">
      <c r="A8" s="162"/>
      <c r="B8" s="629" t="s">
        <v>278</v>
      </c>
      <c r="C8" s="629"/>
      <c r="D8" s="629"/>
      <c r="E8" s="629"/>
      <c r="F8" s="629"/>
      <c r="G8" s="629"/>
      <c r="H8" s="629"/>
      <c r="I8" s="629"/>
      <c r="J8" s="238"/>
      <c r="K8" s="239"/>
      <c r="L8" s="233"/>
      <c r="M8" s="233"/>
      <c r="N8" s="233"/>
      <c r="O8" s="233"/>
    </row>
    <row r="9" spans="1:15" s="3" customFormat="1" ht="19.5" customHeight="1" thickBot="1">
      <c r="A9" s="42"/>
      <c r="B9" s="644" t="s">
        <v>279</v>
      </c>
      <c r="C9" s="644"/>
      <c r="D9" s="644"/>
      <c r="E9" s="644"/>
      <c r="F9" s="644"/>
      <c r="G9" s="644"/>
      <c r="H9" s="644"/>
      <c r="I9" s="644"/>
      <c r="J9" s="44"/>
      <c r="K9" s="164"/>
      <c r="L9" s="535"/>
      <c r="M9" s="535"/>
      <c r="N9" s="165"/>
      <c r="O9" s="233"/>
    </row>
    <row r="10" spans="1:15" s="3" customFormat="1" ht="32.25" customHeight="1" thickBot="1">
      <c r="A10" s="91"/>
      <c r="B10" s="685" t="s">
        <v>40</v>
      </c>
      <c r="C10" s="685" t="s">
        <v>156</v>
      </c>
      <c r="D10" s="689" t="s">
        <v>280</v>
      </c>
      <c r="E10" s="745" t="s">
        <v>158</v>
      </c>
      <c r="F10" s="746"/>
      <c r="G10" s="747"/>
      <c r="H10" s="747"/>
      <c r="I10" s="748"/>
      <c r="J10" s="44"/>
      <c r="K10" s="654"/>
      <c r="L10" s="654"/>
      <c r="M10" s="654"/>
      <c r="N10" s="654"/>
      <c r="O10" s="233"/>
    </row>
    <row r="11" spans="1:15" s="3" customFormat="1" ht="18" customHeight="1" thickBot="1">
      <c r="A11" s="91"/>
      <c r="B11" s="715"/>
      <c r="C11" s="715"/>
      <c r="D11" s="744"/>
      <c r="E11" s="447" t="s">
        <v>159</v>
      </c>
      <c r="F11" s="448" t="s">
        <v>98</v>
      </c>
      <c r="G11" s="732" t="s">
        <v>99</v>
      </c>
      <c r="H11" s="732"/>
      <c r="I11" s="733"/>
      <c r="J11" s="44"/>
      <c r="K11" s="45"/>
      <c r="L11" s="45"/>
      <c r="M11" s="45"/>
      <c r="N11" s="45"/>
      <c r="O11" s="233"/>
    </row>
    <row r="12" spans="1:15" s="3" customFormat="1" ht="19.5" thickBot="1">
      <c r="A12" s="4"/>
      <c r="B12" s="734" t="s">
        <v>281</v>
      </c>
      <c r="C12" s="737" t="s">
        <v>282</v>
      </c>
      <c r="D12" s="256">
        <v>2</v>
      </c>
      <c r="E12" s="87"/>
      <c r="F12" s="244">
        <f>1.1*F14</f>
        <v>1298000</v>
      </c>
      <c r="G12" s="739">
        <v>60</v>
      </c>
      <c r="H12" s="739"/>
      <c r="I12" s="740"/>
      <c r="J12" s="66"/>
      <c r="K12" s="60"/>
      <c r="L12" s="60"/>
      <c r="M12" s="60"/>
      <c r="N12" s="60"/>
      <c r="O12" s="233"/>
    </row>
    <row r="13" spans="1:15" s="3" customFormat="1" ht="19.5" thickBot="1">
      <c r="A13" s="4"/>
      <c r="B13" s="735"/>
      <c r="C13" s="738"/>
      <c r="D13" s="125" t="s">
        <v>77</v>
      </c>
      <c r="E13" s="128"/>
      <c r="F13" s="449">
        <f>ROUND(F12*0.8/10,100)*10</f>
        <v>1038400</v>
      </c>
      <c r="G13" s="741">
        <v>40</v>
      </c>
      <c r="H13" s="741"/>
      <c r="I13" s="742"/>
      <c r="J13" s="66"/>
      <c r="K13" s="60"/>
      <c r="L13" s="60"/>
      <c r="M13" s="60"/>
      <c r="N13" s="60"/>
      <c r="O13" s="233"/>
    </row>
    <row r="14" spans="1:15" s="3" customFormat="1" ht="19.5" thickBot="1">
      <c r="A14" s="4"/>
      <c r="B14" s="735"/>
      <c r="C14" s="737" t="s">
        <v>283</v>
      </c>
      <c r="D14" s="209">
        <v>2</v>
      </c>
      <c r="E14" s="179"/>
      <c r="F14" s="450">
        <v>1180000</v>
      </c>
      <c r="G14" s="739">
        <v>80</v>
      </c>
      <c r="H14" s="739"/>
      <c r="I14" s="739"/>
      <c r="J14" s="66"/>
      <c r="K14" s="60"/>
      <c r="L14" s="60"/>
      <c r="M14" s="60"/>
      <c r="N14" s="60"/>
      <c r="O14" s="233"/>
    </row>
    <row r="15" spans="1:15" s="3" customFormat="1" ht="19.5" thickBot="1">
      <c r="A15" s="4"/>
      <c r="B15" s="735"/>
      <c r="C15" s="743"/>
      <c r="D15" s="256" t="s">
        <v>77</v>
      </c>
      <c r="E15" s="183"/>
      <c r="F15" s="451">
        <f>ROUND(F14*0.8/10,100)*10</f>
        <v>944000</v>
      </c>
      <c r="G15" s="741">
        <v>60</v>
      </c>
      <c r="H15" s="741"/>
      <c r="I15" s="741"/>
      <c r="J15" s="66"/>
      <c r="K15" s="60"/>
      <c r="L15" s="60"/>
      <c r="M15" s="60"/>
      <c r="N15" s="60"/>
      <c r="O15" s="233"/>
    </row>
    <row r="16" spans="1:15" s="3" customFormat="1" ht="18" customHeight="1" thickBot="1">
      <c r="A16" s="4"/>
      <c r="B16" s="736"/>
      <c r="C16" s="738"/>
      <c r="D16" s="125" t="s">
        <v>78</v>
      </c>
      <c r="E16" s="90">
        <f>ROUND(E14*0.8/10,100)*10</f>
        <v>0</v>
      </c>
      <c r="F16" s="449">
        <f>ROUND(F14*0.56/10,100)*10</f>
        <v>660800</v>
      </c>
      <c r="G16" s="741">
        <v>40</v>
      </c>
      <c r="H16" s="741"/>
      <c r="I16" s="741"/>
      <c r="J16" s="59"/>
      <c r="K16" s="60"/>
      <c r="L16" s="60"/>
      <c r="M16" s="60"/>
      <c r="N16" s="60"/>
      <c r="O16" s="233"/>
    </row>
    <row r="17" spans="1:15" s="3" customFormat="1" ht="18.75">
      <c r="A17" s="4"/>
      <c r="B17" s="452"/>
      <c r="C17" s="512"/>
      <c r="D17" s="62"/>
      <c r="E17" s="383"/>
      <c r="F17" s="383"/>
      <c r="G17" s="220"/>
      <c r="H17" s="205"/>
      <c r="I17" s="220"/>
      <c r="J17" s="59"/>
      <c r="K17" s="60"/>
      <c r="L17" s="60"/>
      <c r="M17" s="60"/>
      <c r="N17" s="60"/>
      <c r="O17" s="233"/>
    </row>
    <row r="18" spans="1:15" s="3" customFormat="1" ht="18.75">
      <c r="A18" s="4"/>
      <c r="B18" s="453"/>
      <c r="C18" s="512"/>
      <c r="D18" s="62"/>
      <c r="E18" s="205"/>
      <c r="F18" s="205"/>
      <c r="G18" s="220"/>
      <c r="H18" s="205"/>
      <c r="I18" s="220"/>
      <c r="J18" s="66"/>
      <c r="K18" s="60"/>
      <c r="L18" s="60"/>
      <c r="M18" s="60"/>
      <c r="N18" s="60"/>
      <c r="O18" s="233"/>
    </row>
    <row r="19" spans="1:15" s="3" customFormat="1" ht="18.75">
      <c r="A19" s="4"/>
      <c r="B19" s="453"/>
      <c r="C19" s="512"/>
      <c r="D19" s="62"/>
      <c r="E19" s="205"/>
      <c r="F19" s="383"/>
      <c r="G19" s="220"/>
      <c r="H19" s="383"/>
      <c r="I19" s="220"/>
      <c r="J19" s="66"/>
      <c r="K19" s="60"/>
      <c r="L19" s="60"/>
      <c r="M19" s="60"/>
      <c r="N19" s="60"/>
      <c r="O19" s="233"/>
    </row>
    <row r="20" spans="1:15" s="3" customFormat="1" ht="18.75">
      <c r="A20" s="4"/>
      <c r="B20" s="453"/>
      <c r="C20" s="512"/>
      <c r="D20" s="62"/>
      <c r="E20" s="383"/>
      <c r="F20" s="383"/>
      <c r="G20" s="220"/>
      <c r="H20" s="383"/>
      <c r="I20" s="220"/>
      <c r="J20" s="59"/>
      <c r="K20" s="60"/>
      <c r="L20" s="60"/>
      <c r="M20" s="60"/>
      <c r="N20" s="60"/>
      <c r="O20" s="233"/>
    </row>
    <row r="21" spans="1:15" s="3" customFormat="1" ht="18.75">
      <c r="A21" s="4"/>
      <c r="B21" s="453"/>
      <c r="C21" s="512"/>
      <c r="D21" s="62"/>
      <c r="E21" s="205"/>
      <c r="F21" s="205"/>
      <c r="G21" s="220"/>
      <c r="H21" s="205"/>
      <c r="I21" s="220"/>
      <c r="J21" s="66"/>
      <c r="K21" s="60"/>
      <c r="L21" s="60"/>
      <c r="M21" s="60"/>
      <c r="N21" s="60"/>
      <c r="O21" s="233"/>
    </row>
    <row r="22" spans="1:15" s="3" customFormat="1" ht="18.75">
      <c r="A22" s="4"/>
      <c r="B22" s="453"/>
      <c r="C22" s="512"/>
      <c r="D22" s="62"/>
      <c r="E22" s="454"/>
      <c r="F22" s="454"/>
      <c r="G22" s="220"/>
      <c r="H22" s="454"/>
      <c r="I22" s="220"/>
      <c r="J22" s="182"/>
      <c r="K22" s="60"/>
      <c r="L22" s="60"/>
      <c r="M22" s="60"/>
      <c r="N22" s="60"/>
      <c r="O22" s="233"/>
    </row>
    <row r="23" spans="1:15" s="3" customFormat="1" ht="18.75">
      <c r="A23" s="4"/>
      <c r="B23" s="455"/>
      <c r="C23" s="62"/>
      <c r="D23" s="62"/>
      <c r="E23" s="454"/>
      <c r="F23" s="205"/>
      <c r="G23" s="456"/>
      <c r="H23" s="454"/>
      <c r="I23" s="454"/>
      <c r="J23" s="182"/>
      <c r="K23" s="60"/>
      <c r="L23" s="60"/>
      <c r="M23" s="60"/>
      <c r="N23" s="60"/>
      <c r="O23" s="233"/>
    </row>
    <row r="24" spans="1:15" s="3" customFormat="1" ht="18.75">
      <c r="A24" s="4"/>
      <c r="B24" s="730" t="s">
        <v>119</v>
      </c>
      <c r="C24" s="730"/>
      <c r="D24" s="318"/>
      <c r="E24" s="319"/>
      <c r="F24" s="319"/>
      <c r="G24" s="319"/>
      <c r="H24" s="320"/>
      <c r="I24" s="321" t="s">
        <v>177</v>
      </c>
      <c r="J24" s="182"/>
      <c r="K24" s="60"/>
      <c r="L24" s="60"/>
      <c r="M24" s="60"/>
      <c r="N24" s="60"/>
      <c r="O24" s="233"/>
    </row>
    <row r="25" spans="1:15" s="3" customFormat="1" ht="19.5" customHeight="1">
      <c r="A25" s="116"/>
      <c r="B25" s="731"/>
      <c r="C25" s="731"/>
      <c r="D25" s="731"/>
      <c r="E25" s="731"/>
      <c r="F25" s="731"/>
      <c r="G25" s="731"/>
      <c r="H25" s="731"/>
      <c r="I25" s="731"/>
      <c r="J25" s="5"/>
      <c r="K25" s="51"/>
      <c r="L25" s="51"/>
      <c r="M25" s="51"/>
      <c r="N25" s="51"/>
      <c r="O25" s="233"/>
    </row>
    <row r="26" spans="1:15" s="3" customFormat="1" ht="19.5" customHeight="1">
      <c r="A26" s="116"/>
      <c r="B26" s="457"/>
      <c r="C26" s="457"/>
      <c r="D26" s="457"/>
      <c r="E26" s="457"/>
      <c r="F26" s="457"/>
      <c r="G26" s="457"/>
      <c r="H26" s="457"/>
      <c r="I26" s="457"/>
      <c r="J26" s="5"/>
      <c r="K26" s="51"/>
      <c r="L26" s="51"/>
      <c r="M26" s="51"/>
      <c r="N26" s="51"/>
      <c r="O26" s="233"/>
    </row>
    <row r="27" spans="1:15" s="3" customFormat="1" ht="18.75">
      <c r="A27" s="91"/>
      <c r="B27" s="722"/>
      <c r="C27" s="512"/>
      <c r="D27" s="62"/>
      <c r="E27" s="383"/>
      <c r="F27" s="383"/>
      <c r="G27" s="220"/>
      <c r="H27" s="383"/>
      <c r="I27" s="220"/>
      <c r="J27" s="59"/>
      <c r="K27" s="60"/>
      <c r="L27" s="60"/>
      <c r="M27" s="60"/>
      <c r="N27" s="60"/>
      <c r="O27" s="233"/>
    </row>
    <row r="28" spans="1:15" s="3" customFormat="1" ht="18.75">
      <c r="A28" s="91"/>
      <c r="B28" s="722"/>
      <c r="C28" s="512"/>
      <c r="D28" s="62"/>
      <c r="E28" s="205"/>
      <c r="F28" s="205"/>
      <c r="G28" s="220"/>
      <c r="H28" s="205"/>
      <c r="I28" s="220"/>
      <c r="J28" s="66"/>
      <c r="K28" s="60"/>
      <c r="L28" s="60"/>
      <c r="M28" s="60"/>
      <c r="N28" s="60"/>
      <c r="O28" s="233"/>
    </row>
    <row r="29" spans="1:15" s="3" customFormat="1" ht="18.75">
      <c r="A29" s="4"/>
      <c r="B29" s="722"/>
      <c r="C29" s="512"/>
      <c r="D29" s="62"/>
      <c r="E29" s="205"/>
      <c r="F29" s="383"/>
      <c r="G29" s="220"/>
      <c r="H29" s="383"/>
      <c r="I29" s="220"/>
      <c r="J29" s="66"/>
      <c r="K29" s="60"/>
      <c r="L29" s="60"/>
      <c r="M29" s="60"/>
      <c r="N29" s="60"/>
      <c r="O29" s="233"/>
    </row>
    <row r="30" spans="1:15" s="3" customFormat="1" ht="18.75">
      <c r="A30" s="91"/>
      <c r="B30" s="722"/>
      <c r="C30" s="512"/>
      <c r="D30" s="62"/>
      <c r="E30" s="383"/>
      <c r="F30" s="383"/>
      <c r="G30" s="220"/>
      <c r="H30" s="383"/>
      <c r="I30" s="220"/>
      <c r="J30" s="59"/>
      <c r="K30" s="60"/>
      <c r="L30" s="60"/>
      <c r="M30" s="60"/>
      <c r="N30" s="60"/>
      <c r="O30" s="233"/>
    </row>
    <row r="31" spans="1:15" s="3" customFormat="1" ht="18.75">
      <c r="A31" s="4"/>
      <c r="B31" s="722"/>
      <c r="C31" s="512"/>
      <c r="D31" s="62"/>
      <c r="E31" s="205"/>
      <c r="F31" s="205"/>
      <c r="G31" s="220"/>
      <c r="H31" s="205"/>
      <c r="I31" s="220"/>
      <c r="J31" s="66"/>
      <c r="K31" s="60"/>
      <c r="L31" s="60"/>
      <c r="M31" s="60"/>
      <c r="N31" s="60"/>
      <c r="O31" s="233"/>
    </row>
    <row r="32" spans="1:15" s="3" customFormat="1" ht="15.75" customHeight="1">
      <c r="A32" s="162"/>
      <c r="B32" s="722"/>
      <c r="C32" s="512"/>
      <c r="D32" s="62"/>
      <c r="E32" s="205"/>
      <c r="F32" s="383"/>
      <c r="G32" s="220"/>
      <c r="H32" s="383"/>
      <c r="I32" s="220"/>
      <c r="J32" s="66"/>
      <c r="K32" s="60"/>
      <c r="L32" s="60"/>
      <c r="M32" s="60"/>
      <c r="N32" s="60"/>
      <c r="O32" s="233"/>
    </row>
    <row r="33" spans="1:15" s="3" customFormat="1" ht="16.5" customHeight="1">
      <c r="A33" s="42"/>
      <c r="B33" s="722"/>
      <c r="C33" s="512"/>
      <c r="D33" s="62"/>
      <c r="E33" s="383"/>
      <c r="F33" s="383"/>
      <c r="G33" s="220"/>
      <c r="H33" s="383"/>
      <c r="I33" s="220"/>
      <c r="J33" s="59"/>
      <c r="K33" s="60"/>
      <c r="L33" s="60"/>
      <c r="M33" s="60"/>
      <c r="N33" s="60"/>
      <c r="O33" s="233"/>
    </row>
    <row r="34" spans="1:15" s="3" customFormat="1" ht="15.75" customHeight="1">
      <c r="A34" s="4"/>
      <c r="B34" s="722"/>
      <c r="C34" s="512"/>
      <c r="D34" s="62"/>
      <c r="E34" s="205"/>
      <c r="F34" s="205"/>
      <c r="G34" s="220"/>
      <c r="H34" s="205"/>
      <c r="I34" s="220"/>
      <c r="J34" s="66"/>
      <c r="K34" s="60"/>
      <c r="L34" s="60"/>
      <c r="M34" s="60"/>
      <c r="N34" s="60"/>
      <c r="O34" s="233"/>
    </row>
    <row r="35" spans="1:15" s="3" customFormat="1" ht="15.75" customHeight="1">
      <c r="A35" s="4"/>
      <c r="B35" s="722"/>
      <c r="C35" s="512"/>
      <c r="D35" s="62"/>
      <c r="E35" s="454"/>
      <c r="F35" s="454"/>
      <c r="G35" s="220"/>
      <c r="H35" s="454"/>
      <c r="I35" s="220"/>
      <c r="J35" s="182"/>
      <c r="K35" s="60"/>
      <c r="L35" s="60"/>
      <c r="M35" s="60"/>
      <c r="N35" s="60"/>
      <c r="O35" s="233"/>
    </row>
    <row r="36" spans="1:15" s="3" customFormat="1" ht="18" customHeight="1">
      <c r="A36" s="4"/>
      <c r="B36" s="725"/>
      <c r="C36" s="725"/>
      <c r="D36" s="725"/>
      <c r="E36" s="725"/>
      <c r="F36" s="725"/>
      <c r="G36" s="725"/>
      <c r="H36" s="725"/>
      <c r="I36" s="725"/>
      <c r="J36" s="5"/>
      <c r="K36" s="51"/>
      <c r="L36" s="51"/>
      <c r="M36" s="51"/>
      <c r="N36" s="51"/>
      <c r="O36" s="233"/>
    </row>
    <row r="37" spans="1:15" s="3" customFormat="1" ht="18" customHeight="1">
      <c r="A37" s="4"/>
      <c r="B37" s="458"/>
      <c r="C37" s="458"/>
      <c r="D37" s="458"/>
      <c r="E37" s="458"/>
      <c r="F37" s="458"/>
      <c r="G37" s="458"/>
      <c r="H37" s="458"/>
      <c r="I37" s="458"/>
      <c r="J37" s="5"/>
      <c r="K37" s="51"/>
      <c r="L37" s="51"/>
      <c r="M37" s="51"/>
      <c r="N37" s="51"/>
      <c r="O37" s="233"/>
    </row>
    <row r="38" spans="1:15" s="3" customFormat="1" ht="15" customHeight="1">
      <c r="A38" s="4"/>
      <c r="B38" s="722"/>
      <c r="C38" s="512"/>
      <c r="D38" s="62"/>
      <c r="E38" s="383"/>
      <c r="F38" s="383"/>
      <c r="G38" s="220"/>
      <c r="H38" s="383"/>
      <c r="I38" s="220"/>
      <c r="J38" s="59"/>
      <c r="K38" s="60"/>
      <c r="L38" s="60"/>
      <c r="M38" s="60"/>
      <c r="N38" s="60"/>
      <c r="O38" s="292"/>
    </row>
    <row r="39" spans="1:15" s="3" customFormat="1" ht="15" customHeight="1">
      <c r="A39" s="4"/>
      <c r="B39" s="722"/>
      <c r="C39" s="512"/>
      <c r="D39" s="62"/>
      <c r="E39" s="205"/>
      <c r="F39" s="205"/>
      <c r="G39" s="220"/>
      <c r="H39" s="205"/>
      <c r="I39" s="220"/>
      <c r="J39" s="66"/>
      <c r="K39" s="60"/>
      <c r="L39" s="60"/>
      <c r="M39" s="60"/>
      <c r="N39" s="60"/>
      <c r="O39" s="292"/>
    </row>
    <row r="40" spans="1:16" s="3" customFormat="1" ht="15.75" customHeight="1">
      <c r="A40" s="4"/>
      <c r="B40" s="722"/>
      <c r="C40" s="512"/>
      <c r="D40" s="62"/>
      <c r="E40" s="205"/>
      <c r="F40" s="383"/>
      <c r="G40" s="220"/>
      <c r="H40" s="383"/>
      <c r="I40" s="220"/>
      <c r="J40" s="66"/>
      <c r="K40" s="60"/>
      <c r="L40" s="60"/>
      <c r="M40" s="60"/>
      <c r="N40" s="60"/>
      <c r="O40" s="292"/>
      <c r="P40" s="292"/>
    </row>
    <row r="41" spans="2:15" ht="18.75">
      <c r="B41" s="722"/>
      <c r="C41" s="512"/>
      <c r="D41" s="62"/>
      <c r="E41" s="383"/>
      <c r="F41" s="383"/>
      <c r="G41" s="220"/>
      <c r="H41" s="383"/>
      <c r="I41" s="220"/>
      <c r="J41" s="59"/>
      <c r="K41" s="60"/>
      <c r="L41" s="60"/>
      <c r="M41" s="60"/>
      <c r="N41" s="60"/>
      <c r="O41" s="293"/>
    </row>
    <row r="42" spans="2:15" ht="18.75">
      <c r="B42" s="722"/>
      <c r="C42" s="512"/>
      <c r="D42" s="62"/>
      <c r="E42" s="205"/>
      <c r="F42" s="205"/>
      <c r="G42" s="220"/>
      <c r="H42" s="205"/>
      <c r="I42" s="220"/>
      <c r="J42" s="66"/>
      <c r="K42" s="60"/>
      <c r="L42" s="60"/>
      <c r="M42" s="60"/>
      <c r="N42" s="60"/>
      <c r="O42" s="293"/>
    </row>
    <row r="43" spans="2:15" ht="18.75">
      <c r="B43" s="722"/>
      <c r="C43" s="512"/>
      <c r="D43" s="62"/>
      <c r="E43" s="205"/>
      <c r="F43" s="383"/>
      <c r="G43" s="220"/>
      <c r="H43" s="383"/>
      <c r="I43" s="220"/>
      <c r="J43" s="66"/>
      <c r="K43" s="60"/>
      <c r="L43" s="60"/>
      <c r="M43" s="60"/>
      <c r="N43" s="60"/>
      <c r="O43" s="293"/>
    </row>
    <row r="44" spans="2:15" ht="18.75">
      <c r="B44" s="722"/>
      <c r="C44" s="512"/>
      <c r="D44" s="62"/>
      <c r="E44" s="383"/>
      <c r="F44" s="383"/>
      <c r="G44" s="220"/>
      <c r="H44" s="383"/>
      <c r="I44" s="220"/>
      <c r="J44" s="59"/>
      <c r="K44" s="60"/>
      <c r="L44" s="60"/>
      <c r="M44" s="60"/>
      <c r="N44" s="60"/>
      <c r="O44" s="293"/>
    </row>
    <row r="45" spans="2:15" ht="18.75">
      <c r="B45" s="722"/>
      <c r="C45" s="512"/>
      <c r="D45" s="62"/>
      <c r="E45" s="205"/>
      <c r="F45" s="205"/>
      <c r="G45" s="220"/>
      <c r="H45" s="205"/>
      <c r="I45" s="220"/>
      <c r="J45" s="66"/>
      <c r="K45" s="60"/>
      <c r="L45" s="60"/>
      <c r="M45" s="60"/>
      <c r="N45" s="60"/>
      <c r="O45" s="293"/>
    </row>
    <row r="46" spans="2:15" ht="18.75">
      <c r="B46" s="722"/>
      <c r="C46" s="512"/>
      <c r="D46" s="62"/>
      <c r="E46" s="205"/>
      <c r="F46" s="383"/>
      <c r="G46" s="220"/>
      <c r="H46" s="383"/>
      <c r="I46" s="220"/>
      <c r="J46" s="66"/>
      <c r="K46" s="60"/>
      <c r="L46" s="60"/>
      <c r="M46" s="60"/>
      <c r="N46" s="60"/>
      <c r="O46" s="293"/>
    </row>
    <row r="47" spans="2:16" ht="18.75">
      <c r="B47" s="722"/>
      <c r="C47" s="512"/>
      <c r="D47" s="62"/>
      <c r="E47" s="383"/>
      <c r="F47" s="383"/>
      <c r="G47" s="220"/>
      <c r="H47" s="383"/>
      <c r="I47" s="220"/>
      <c r="J47" s="59"/>
      <c r="K47" s="60"/>
      <c r="L47" s="60"/>
      <c r="M47" s="60"/>
      <c r="N47" s="60"/>
      <c r="O47" s="293"/>
      <c r="P47" s="293"/>
    </row>
    <row r="48" spans="2:15" ht="18.75">
      <c r="B48" s="722"/>
      <c r="C48" s="512"/>
      <c r="D48" s="62"/>
      <c r="E48" s="205"/>
      <c r="F48" s="205"/>
      <c r="G48" s="220"/>
      <c r="H48" s="205"/>
      <c r="I48" s="220"/>
      <c r="J48" s="66"/>
      <c r="K48" s="60"/>
      <c r="L48" s="60"/>
      <c r="M48" s="60"/>
      <c r="N48" s="60"/>
      <c r="O48" s="293"/>
    </row>
    <row r="49" spans="2:16" ht="18.75">
      <c r="B49" s="722"/>
      <c r="C49" s="512"/>
      <c r="D49" s="62"/>
      <c r="E49" s="454"/>
      <c r="F49" s="454"/>
      <c r="G49" s="220"/>
      <c r="H49" s="454"/>
      <c r="I49" s="220"/>
      <c r="J49" s="182"/>
      <c r="K49" s="60"/>
      <c r="L49" s="60"/>
      <c r="M49" s="60"/>
      <c r="N49" s="60"/>
      <c r="O49" s="293"/>
      <c r="P49" s="293"/>
    </row>
    <row r="50" spans="2:15" ht="18.75">
      <c r="B50" s="455"/>
      <c r="C50" s="62"/>
      <c r="D50" s="62"/>
      <c r="E50" s="454"/>
      <c r="F50" s="205"/>
      <c r="G50" s="456"/>
      <c r="H50" s="454"/>
      <c r="I50" s="454"/>
      <c r="J50" s="182"/>
      <c r="K50" s="60"/>
      <c r="L50" s="60"/>
      <c r="M50" s="60"/>
      <c r="N50" s="60"/>
      <c r="O50" s="293"/>
    </row>
    <row r="51" spans="2:15" ht="18.75">
      <c r="B51" s="723"/>
      <c r="C51" s="723"/>
      <c r="D51" s="723"/>
      <c r="E51" s="723"/>
      <c r="F51" s="723"/>
      <c r="G51" s="723"/>
      <c r="H51" s="297"/>
      <c r="I51" s="724"/>
      <c r="J51" s="297"/>
      <c r="K51" s="297"/>
      <c r="L51" s="297"/>
      <c r="M51" s="297"/>
      <c r="N51" s="297"/>
      <c r="O51" s="297"/>
    </row>
    <row r="52" spans="2:15" ht="18.75">
      <c r="B52" s="130"/>
      <c r="C52" s="130"/>
      <c r="D52" s="130"/>
      <c r="E52" s="130"/>
      <c r="F52" s="130"/>
      <c r="G52" s="130"/>
      <c r="H52" s="299"/>
      <c r="I52" s="724"/>
      <c r="J52" s="297"/>
      <c r="K52" s="297"/>
      <c r="L52" s="60"/>
      <c r="M52" s="60"/>
      <c r="N52" s="297"/>
      <c r="O52" s="297"/>
    </row>
    <row r="53" spans="2:15" ht="18.75">
      <c r="B53" s="304"/>
      <c r="C53" s="304"/>
      <c r="D53" s="459"/>
      <c r="E53" s="304"/>
      <c r="F53" s="304"/>
      <c r="G53" s="304"/>
      <c r="H53" s="299"/>
      <c r="I53" s="460"/>
      <c r="J53" s="297"/>
      <c r="K53" s="297"/>
      <c r="L53" s="60"/>
      <c r="M53" s="297"/>
      <c r="N53" s="297"/>
      <c r="O53" s="297"/>
    </row>
    <row r="54" spans="2:15" ht="18.75">
      <c r="B54" s="304"/>
      <c r="C54" s="304"/>
      <c r="D54" s="459"/>
      <c r="E54" s="304"/>
      <c r="F54" s="304"/>
      <c r="G54" s="304"/>
      <c r="H54" s="299"/>
      <c r="I54" s="460"/>
      <c r="J54" s="297"/>
      <c r="K54" s="297"/>
      <c r="L54" s="60"/>
      <c r="M54" s="297"/>
      <c r="N54" s="297"/>
      <c r="O54" s="297"/>
    </row>
    <row r="55" spans="2:15" ht="18.75">
      <c r="B55" s="304"/>
      <c r="C55" s="459"/>
      <c r="D55" s="304"/>
      <c r="E55" s="304"/>
      <c r="F55" s="304"/>
      <c r="G55" s="304"/>
      <c r="H55" s="299"/>
      <c r="I55" s="460"/>
      <c r="J55" s="297"/>
      <c r="K55" s="297"/>
      <c r="L55" s="60"/>
      <c r="M55" s="297"/>
      <c r="N55" s="297"/>
      <c r="O55" s="297"/>
    </row>
    <row r="56" spans="2:15" ht="23.25" customHeight="1">
      <c r="B56" s="297"/>
      <c r="C56" s="297"/>
      <c r="D56" s="297"/>
      <c r="E56" s="297"/>
      <c r="F56" s="297"/>
      <c r="G56" s="297"/>
      <c r="H56" s="297"/>
      <c r="I56" s="461"/>
      <c r="J56" s="297"/>
      <c r="K56" s="297"/>
      <c r="L56" s="297"/>
      <c r="M56" s="297"/>
      <c r="N56" s="297"/>
      <c r="O56" s="297"/>
    </row>
    <row r="57" spans="2:9" ht="23.25">
      <c r="B57" s="725"/>
      <c r="C57" s="725"/>
      <c r="D57" s="725"/>
      <c r="E57" s="725"/>
      <c r="F57" s="725"/>
      <c r="G57" s="725"/>
      <c r="H57" s="725"/>
      <c r="I57" s="725"/>
    </row>
    <row r="58" spans="2:9" ht="19.5">
      <c r="B58" s="726"/>
      <c r="C58" s="726"/>
      <c r="D58" s="726"/>
      <c r="E58" s="726"/>
      <c r="F58" s="726"/>
      <c r="G58" s="726"/>
      <c r="H58" s="726"/>
      <c r="I58" s="726"/>
    </row>
    <row r="59" spans="2:9" ht="19.5">
      <c r="B59" s="727"/>
      <c r="C59" s="727"/>
      <c r="D59" s="727"/>
      <c r="E59" s="726"/>
      <c r="F59" s="726"/>
      <c r="G59" s="726"/>
      <c r="H59" s="726"/>
      <c r="I59" s="726"/>
    </row>
    <row r="60" spans="2:9" ht="20.25" customHeight="1">
      <c r="B60" s="727"/>
      <c r="C60" s="727"/>
      <c r="D60" s="727"/>
      <c r="E60" s="441"/>
      <c r="F60" s="696"/>
      <c r="G60" s="728"/>
      <c r="H60" s="728"/>
      <c r="I60" s="728"/>
    </row>
    <row r="61" spans="2:9" ht="19.5" hidden="1">
      <c r="B61" s="727"/>
      <c r="C61" s="727"/>
      <c r="D61" s="727"/>
      <c r="E61" s="200"/>
      <c r="F61" s="728"/>
      <c r="G61" s="728"/>
      <c r="H61" s="728"/>
      <c r="I61" s="728"/>
    </row>
    <row r="62" spans="2:9" ht="15" hidden="1">
      <c r="B62" s="727"/>
      <c r="C62" s="727"/>
      <c r="D62" s="727"/>
      <c r="E62" s="729"/>
      <c r="F62" s="729"/>
      <c r="G62" s="729"/>
      <c r="H62" s="729"/>
      <c r="I62" s="729"/>
    </row>
    <row r="63" spans="2:9" ht="18.75">
      <c r="B63" s="722"/>
      <c r="C63" s="512"/>
      <c r="D63" s="62"/>
      <c r="E63" s="383"/>
      <c r="F63" s="383"/>
      <c r="G63" s="721"/>
      <c r="H63" s="721"/>
      <c r="I63" s="721"/>
    </row>
    <row r="64" spans="2:9" ht="18.75">
      <c r="B64" s="722"/>
      <c r="C64" s="512"/>
      <c r="D64" s="62"/>
      <c r="E64" s="205"/>
      <c r="F64" s="205"/>
      <c r="G64" s="721"/>
      <c r="H64" s="721"/>
      <c r="I64" s="721"/>
    </row>
    <row r="65" spans="2:9" ht="18.75">
      <c r="B65" s="722"/>
      <c r="C65" s="512"/>
      <c r="D65" s="62"/>
      <c r="E65" s="205"/>
      <c r="F65" s="383"/>
      <c r="G65" s="721"/>
      <c r="H65" s="721"/>
      <c r="I65" s="721"/>
    </row>
    <row r="66" spans="2:9" ht="18.75">
      <c r="B66" s="722"/>
      <c r="C66" s="512"/>
      <c r="D66" s="62"/>
      <c r="E66" s="383"/>
      <c r="F66" s="383"/>
      <c r="G66" s="721"/>
      <c r="H66" s="721"/>
      <c r="I66" s="721"/>
    </row>
    <row r="67" spans="2:9" ht="18.75">
      <c r="B67" s="722"/>
      <c r="C67" s="512"/>
      <c r="D67" s="62"/>
      <c r="E67" s="205"/>
      <c r="F67" s="205"/>
      <c r="G67" s="721"/>
      <c r="H67" s="721"/>
      <c r="I67" s="721"/>
    </row>
    <row r="68" spans="2:9" ht="18.75">
      <c r="B68" s="722"/>
      <c r="C68" s="512"/>
      <c r="D68" s="62"/>
      <c r="E68" s="205"/>
      <c r="F68" s="383"/>
      <c r="G68" s="721"/>
      <c r="H68" s="721"/>
      <c r="I68" s="721"/>
    </row>
    <row r="69" spans="2:9" ht="18.75">
      <c r="B69" s="722"/>
      <c r="C69" s="512"/>
      <c r="D69" s="62"/>
      <c r="E69" s="383"/>
      <c r="F69" s="383"/>
      <c r="G69" s="721"/>
      <c r="H69" s="721"/>
      <c r="I69" s="721"/>
    </row>
    <row r="70" spans="2:9" ht="18.75">
      <c r="B70" s="722"/>
      <c r="C70" s="512"/>
      <c r="D70" s="62"/>
      <c r="E70" s="205"/>
      <c r="F70" s="205"/>
      <c r="G70" s="721"/>
      <c r="H70" s="721"/>
      <c r="I70" s="721"/>
    </row>
    <row r="71" spans="2:9" ht="18.75">
      <c r="B71" s="722"/>
      <c r="C71" s="512"/>
      <c r="D71" s="62"/>
      <c r="E71" s="205"/>
      <c r="F71" s="383"/>
      <c r="G71" s="721"/>
      <c r="H71" s="721"/>
      <c r="I71" s="721"/>
    </row>
    <row r="72" spans="2:9" ht="18.75">
      <c r="B72" s="722"/>
      <c r="C72" s="512"/>
      <c r="D72" s="62"/>
      <c r="E72" s="383"/>
      <c r="F72" s="383"/>
      <c r="G72" s="721"/>
      <c r="H72" s="721"/>
      <c r="I72" s="721"/>
    </row>
    <row r="73" spans="2:9" ht="18.75">
      <c r="B73" s="722"/>
      <c r="C73" s="512"/>
      <c r="D73" s="62"/>
      <c r="E73" s="205"/>
      <c r="F73" s="205"/>
      <c r="G73" s="721"/>
      <c r="H73" s="721"/>
      <c r="I73" s="721"/>
    </row>
    <row r="74" spans="2:9" ht="18.75">
      <c r="B74" s="722"/>
      <c r="C74" s="512"/>
      <c r="D74" s="62"/>
      <c r="E74" s="454"/>
      <c r="F74" s="454"/>
      <c r="G74" s="721"/>
      <c r="H74" s="721"/>
      <c r="I74" s="721"/>
    </row>
  </sheetData>
  <sheetProtection/>
  <mergeCells count="60">
    <mergeCell ref="B6:I6"/>
    <mergeCell ref="B7:I7"/>
    <mergeCell ref="B8:I8"/>
    <mergeCell ref="B9:I9"/>
    <mergeCell ref="L9:M9"/>
    <mergeCell ref="B10:B11"/>
    <mergeCell ref="C10:C11"/>
    <mergeCell ref="D10:D11"/>
    <mergeCell ref="E10:I10"/>
    <mergeCell ref="K10:N10"/>
    <mergeCell ref="G11:I11"/>
    <mergeCell ref="B12:B16"/>
    <mergeCell ref="C12:C13"/>
    <mergeCell ref="G12:I12"/>
    <mergeCell ref="G13:I13"/>
    <mergeCell ref="C14:C16"/>
    <mergeCell ref="G14:I14"/>
    <mergeCell ref="G15:I15"/>
    <mergeCell ref="G16:I16"/>
    <mergeCell ref="C17:C19"/>
    <mergeCell ref="C20:C22"/>
    <mergeCell ref="B24:C24"/>
    <mergeCell ref="B25:I25"/>
    <mergeCell ref="B27:B35"/>
    <mergeCell ref="C27:C29"/>
    <mergeCell ref="C30:C32"/>
    <mergeCell ref="C33:C35"/>
    <mergeCell ref="B36:I36"/>
    <mergeCell ref="B38:B49"/>
    <mergeCell ref="C38:C40"/>
    <mergeCell ref="C41:C43"/>
    <mergeCell ref="C44:C46"/>
    <mergeCell ref="C47:C49"/>
    <mergeCell ref="B51:G51"/>
    <mergeCell ref="I51:I52"/>
    <mergeCell ref="B57:I57"/>
    <mergeCell ref="B58:I58"/>
    <mergeCell ref="B59:B62"/>
    <mergeCell ref="C59:C62"/>
    <mergeCell ref="D59:D62"/>
    <mergeCell ref="E59:I59"/>
    <mergeCell ref="F60:I61"/>
    <mergeCell ref="E62:I62"/>
    <mergeCell ref="B63:B74"/>
    <mergeCell ref="C63:C65"/>
    <mergeCell ref="G63:I63"/>
    <mergeCell ref="G64:I64"/>
    <mergeCell ref="G65:I65"/>
    <mergeCell ref="C66:C68"/>
    <mergeCell ref="G66:I66"/>
    <mergeCell ref="G67:I67"/>
    <mergeCell ref="G68:I68"/>
    <mergeCell ref="C69:C71"/>
    <mergeCell ref="G69:I69"/>
    <mergeCell ref="G70:I70"/>
    <mergeCell ref="G71:I71"/>
    <mergeCell ref="C72:C74"/>
    <mergeCell ref="G72:I72"/>
    <mergeCell ref="G73:I73"/>
    <mergeCell ref="G74:I74"/>
  </mergeCells>
  <printOptions/>
  <pageMargins left="0.75" right="0.75" top="1" bottom="1" header="0.5" footer="0.5"/>
  <pageSetup horizontalDpi="600" verticalDpi="600" orientation="portrait" paperSize="9" scale="86" r:id="rId1"/>
  <rowBreaks count="1" manualBreakCount="1">
    <brk id="35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="90" zoomScaleSheetLayoutView="90" workbookViewId="0" topLeftCell="A1">
      <selection activeCell="A8" sqref="A8:G8"/>
    </sheetView>
  </sheetViews>
  <sheetFormatPr defaultColWidth="9.00390625" defaultRowHeight="12.75"/>
  <cols>
    <col min="1" max="2" width="9.125" style="463" customWidth="1"/>
    <col min="3" max="3" width="9.75390625" style="463" customWidth="1"/>
    <col min="4" max="4" width="10.875" style="463" customWidth="1"/>
    <col min="5" max="7" width="20.00390625" style="463" customWidth="1"/>
    <col min="8" max="16384" width="9.125" style="463" customWidth="1"/>
  </cols>
  <sheetData>
    <row r="1" spans="1:7" ht="15.75">
      <c r="A1" s="462"/>
      <c r="B1" s="462"/>
      <c r="C1" s="462"/>
      <c r="D1" s="462"/>
      <c r="E1" s="462"/>
      <c r="G1" s="464" t="s">
        <v>284</v>
      </c>
    </row>
    <row r="2" spans="1:7" ht="15.75">
      <c r="A2" s="465"/>
      <c r="B2" s="465"/>
      <c r="C2" s="465"/>
      <c r="D2" s="465"/>
      <c r="E2" s="465"/>
      <c r="F2" s="466"/>
      <c r="G2" s="464" t="s">
        <v>89</v>
      </c>
    </row>
    <row r="3" spans="1:7" ht="15.75">
      <c r="A3" s="465"/>
      <c r="B3" s="465"/>
      <c r="C3" s="465"/>
      <c r="D3" s="465"/>
      <c r="E3" s="465"/>
      <c r="F3" s="467"/>
      <c r="G3" s="464" t="s">
        <v>90</v>
      </c>
    </row>
    <row r="4" spans="1:7" ht="15.75">
      <c r="A4" s="465"/>
      <c r="B4" s="465"/>
      <c r="C4" s="465"/>
      <c r="D4" s="465"/>
      <c r="E4" s="465"/>
      <c r="F4" s="467"/>
      <c r="G4" s="464"/>
    </row>
    <row r="5" spans="1:7" ht="15">
      <c r="A5" s="465"/>
      <c r="B5" s="465"/>
      <c r="C5" s="465"/>
      <c r="D5" s="465"/>
      <c r="E5" s="465"/>
      <c r="F5" s="468" t="s">
        <v>285</v>
      </c>
      <c r="G5" s="467"/>
    </row>
    <row r="6" spans="1:7" ht="15">
      <c r="A6" s="465"/>
      <c r="B6" s="465"/>
      <c r="C6" s="465"/>
      <c r="D6" s="465"/>
      <c r="E6" s="465"/>
      <c r="F6" s="467"/>
      <c r="G6" s="467"/>
    </row>
    <row r="7" spans="1:7" ht="15">
      <c r="A7" s="465"/>
      <c r="B7" s="465"/>
      <c r="C7" s="465"/>
      <c r="D7" s="465"/>
      <c r="E7" s="465"/>
      <c r="F7" s="467"/>
      <c r="G7" s="467"/>
    </row>
    <row r="8" spans="1:7" ht="18.75">
      <c r="A8" s="767" t="s">
        <v>286</v>
      </c>
      <c r="B8" s="767"/>
      <c r="C8" s="767"/>
      <c r="D8" s="767"/>
      <c r="E8" s="767"/>
      <c r="F8" s="767"/>
      <c r="G8" s="767"/>
    </row>
    <row r="9" spans="1:7" ht="15.75">
      <c r="A9" s="768" t="s">
        <v>287</v>
      </c>
      <c r="B9" s="768"/>
      <c r="C9" s="768"/>
      <c r="D9" s="768"/>
      <c r="E9" s="768"/>
      <c r="F9" s="768"/>
      <c r="G9" s="768"/>
    </row>
    <row r="10" spans="1:7" ht="15.75">
      <c r="A10" s="769" t="s">
        <v>288</v>
      </c>
      <c r="B10" s="769"/>
      <c r="C10" s="769"/>
      <c r="D10" s="769"/>
      <c r="E10" s="769"/>
      <c r="F10" s="769"/>
      <c r="G10" s="769"/>
    </row>
    <row r="11" spans="1:7" ht="19.5">
      <c r="A11" s="770" t="s">
        <v>289</v>
      </c>
      <c r="B11" s="770"/>
      <c r="C11" s="770"/>
      <c r="D11" s="770"/>
      <c r="E11" s="770"/>
      <c r="F11" s="770"/>
      <c r="G11" s="770"/>
    </row>
    <row r="12" spans="1:7" ht="15">
      <c r="A12" s="465"/>
      <c r="B12" s="465"/>
      <c r="C12" s="465"/>
      <c r="D12" s="465"/>
      <c r="E12" s="465"/>
      <c r="F12" s="465"/>
      <c r="G12" s="465"/>
    </row>
    <row r="13" spans="1:7" ht="15.75">
      <c r="A13" s="749" t="s">
        <v>290</v>
      </c>
      <c r="B13" s="749"/>
      <c r="C13" s="749"/>
      <c r="D13" s="749"/>
      <c r="E13" s="749"/>
      <c r="F13" s="749"/>
      <c r="G13" s="749"/>
    </row>
    <row r="14" spans="1:7" ht="15.75">
      <c r="A14" s="771" t="s">
        <v>291</v>
      </c>
      <c r="B14" s="771"/>
      <c r="C14" s="771"/>
      <c r="D14" s="771"/>
      <c r="E14" s="771"/>
      <c r="F14" s="771"/>
      <c r="G14" s="771"/>
    </row>
    <row r="15" spans="1:7" ht="15.75">
      <c r="A15" s="749"/>
      <c r="B15" s="749"/>
      <c r="C15" s="749"/>
      <c r="D15" s="749"/>
      <c r="E15" s="749"/>
      <c r="F15" s="749"/>
      <c r="G15" s="749"/>
    </row>
    <row r="16" spans="1:7" ht="15">
      <c r="A16" s="465"/>
      <c r="B16" s="465"/>
      <c r="C16" s="465"/>
      <c r="D16" s="465"/>
      <c r="E16" s="465"/>
      <c r="F16" s="465"/>
      <c r="G16" s="465"/>
    </row>
    <row r="17" spans="1:7" ht="15.75">
      <c r="A17" s="750" t="s">
        <v>292</v>
      </c>
      <c r="B17" s="750"/>
      <c r="C17" s="750"/>
      <c r="D17" s="750"/>
      <c r="E17" s="750"/>
      <c r="F17" s="750"/>
      <c r="G17" s="750"/>
    </row>
    <row r="18" spans="1:7" ht="15.75" customHeight="1">
      <c r="A18" s="751" t="s">
        <v>0</v>
      </c>
      <c r="B18" s="752"/>
      <c r="C18" s="752"/>
      <c r="D18" s="753"/>
      <c r="E18" s="757" t="s">
        <v>293</v>
      </c>
      <c r="F18" s="757"/>
      <c r="G18" s="757"/>
    </row>
    <row r="19" spans="1:7" ht="47.25" customHeight="1">
      <c r="A19" s="754"/>
      <c r="B19" s="755"/>
      <c r="C19" s="755"/>
      <c r="D19" s="756"/>
      <c r="E19" s="758" t="s">
        <v>294</v>
      </c>
      <c r="F19" s="759"/>
      <c r="G19" s="760"/>
    </row>
    <row r="20" spans="1:7" ht="15.75">
      <c r="A20" s="761">
        <v>1</v>
      </c>
      <c r="B20" s="762"/>
      <c r="C20" s="762"/>
      <c r="D20" s="763"/>
      <c r="E20" s="764">
        <v>11</v>
      </c>
      <c r="F20" s="765"/>
      <c r="G20" s="766"/>
    </row>
    <row r="25" spans="1:7" ht="15.75">
      <c r="A25" s="469" t="s">
        <v>119</v>
      </c>
      <c r="B25" s="469"/>
      <c r="C25" s="469"/>
      <c r="D25" s="469"/>
      <c r="E25" s="469"/>
      <c r="F25" s="469"/>
      <c r="G25" s="470" t="s">
        <v>295</v>
      </c>
    </row>
  </sheetData>
  <sheetProtection/>
  <mergeCells count="13">
    <mergeCell ref="A8:G8"/>
    <mergeCell ref="A9:G9"/>
    <mergeCell ref="A10:G10"/>
    <mergeCell ref="A11:G11"/>
    <mergeCell ref="A13:G13"/>
    <mergeCell ref="A14:G14"/>
    <mergeCell ref="A15:G15"/>
    <mergeCell ref="A17:G17"/>
    <mergeCell ref="A18:D19"/>
    <mergeCell ref="E18:G18"/>
    <mergeCell ref="E19:G19"/>
    <mergeCell ref="A20:D20"/>
    <mergeCell ref="E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="90" zoomScaleSheetLayoutView="90" workbookViewId="0" topLeftCell="A1">
      <selection activeCell="A8" sqref="A8:G8"/>
    </sheetView>
  </sheetViews>
  <sheetFormatPr defaultColWidth="9.00390625" defaultRowHeight="12.75"/>
  <cols>
    <col min="1" max="2" width="9.125" style="463" customWidth="1"/>
    <col min="3" max="3" width="9.75390625" style="463" customWidth="1"/>
    <col min="4" max="4" width="10.875" style="463" customWidth="1"/>
    <col min="5" max="7" width="20.00390625" style="463" customWidth="1"/>
    <col min="8" max="16384" width="9.125" style="463" customWidth="1"/>
  </cols>
  <sheetData>
    <row r="1" spans="1:7" ht="15.75">
      <c r="A1" s="462"/>
      <c r="B1" s="462"/>
      <c r="C1" s="462"/>
      <c r="D1" s="462"/>
      <c r="E1" s="462"/>
      <c r="G1" s="464" t="s">
        <v>284</v>
      </c>
    </row>
    <row r="2" spans="1:7" ht="15.75">
      <c r="A2" s="465"/>
      <c r="B2" s="465"/>
      <c r="C2" s="465"/>
      <c r="D2" s="465"/>
      <c r="E2" s="465"/>
      <c r="F2" s="466"/>
      <c r="G2" s="464" t="s">
        <v>89</v>
      </c>
    </row>
    <row r="3" spans="1:7" ht="15.75">
      <c r="A3" s="465"/>
      <c r="B3" s="465"/>
      <c r="C3" s="465"/>
      <c r="D3" s="465"/>
      <c r="E3" s="465"/>
      <c r="F3" s="467"/>
      <c r="G3" s="464" t="s">
        <v>90</v>
      </c>
    </row>
    <row r="4" spans="1:7" ht="15.75">
      <c r="A4" s="465"/>
      <c r="B4" s="465"/>
      <c r="C4" s="465"/>
      <c r="D4" s="465"/>
      <c r="E4" s="465"/>
      <c r="F4" s="467"/>
      <c r="G4" s="464"/>
    </row>
    <row r="5" spans="1:7" ht="15">
      <c r="A5" s="465"/>
      <c r="B5" s="465"/>
      <c r="C5" s="465"/>
      <c r="D5" s="465"/>
      <c r="E5" s="465"/>
      <c r="F5" s="468" t="s">
        <v>296</v>
      </c>
      <c r="G5" s="467"/>
    </row>
    <row r="6" spans="1:7" ht="15">
      <c r="A6" s="465"/>
      <c r="B6" s="465"/>
      <c r="C6" s="465"/>
      <c r="D6" s="465"/>
      <c r="E6" s="465"/>
      <c r="F6" s="467"/>
      <c r="G6" s="467"/>
    </row>
    <row r="7" spans="1:7" ht="15">
      <c r="A7" s="465"/>
      <c r="B7" s="465"/>
      <c r="C7" s="465"/>
      <c r="D7" s="465"/>
      <c r="E7" s="465"/>
      <c r="F7" s="467"/>
      <c r="G7" s="467"/>
    </row>
    <row r="8" spans="1:7" ht="18.75">
      <c r="A8" s="767" t="s">
        <v>297</v>
      </c>
      <c r="B8" s="767"/>
      <c r="C8" s="767"/>
      <c r="D8" s="767"/>
      <c r="E8" s="767"/>
      <c r="F8" s="767"/>
      <c r="G8" s="767"/>
    </row>
    <row r="9" spans="1:7" ht="15.75">
      <c r="A9" s="768" t="s">
        <v>287</v>
      </c>
      <c r="B9" s="768"/>
      <c r="C9" s="768"/>
      <c r="D9" s="768"/>
      <c r="E9" s="768"/>
      <c r="F9" s="768"/>
      <c r="G9" s="768"/>
    </row>
    <row r="10" spans="1:7" ht="15.75">
      <c r="A10" s="769" t="s">
        <v>288</v>
      </c>
      <c r="B10" s="769"/>
      <c r="C10" s="769"/>
      <c r="D10" s="769"/>
      <c r="E10" s="769"/>
      <c r="F10" s="769"/>
      <c r="G10" s="769"/>
    </row>
    <row r="11" spans="1:7" ht="19.5">
      <c r="A11" s="770" t="s">
        <v>298</v>
      </c>
      <c r="B11" s="770"/>
      <c r="C11" s="770"/>
      <c r="D11" s="770"/>
      <c r="E11" s="770"/>
      <c r="F11" s="770"/>
      <c r="G11" s="770"/>
    </row>
    <row r="12" spans="1:7" ht="15">
      <c r="A12" s="465"/>
      <c r="B12" s="465"/>
      <c r="C12" s="465"/>
      <c r="D12" s="465"/>
      <c r="E12" s="465"/>
      <c r="F12" s="465"/>
      <c r="G12" s="465"/>
    </row>
    <row r="13" spans="1:7" ht="15.75">
      <c r="A13" s="749" t="s">
        <v>299</v>
      </c>
      <c r="B13" s="749"/>
      <c r="C13" s="749"/>
      <c r="D13" s="749"/>
      <c r="E13" s="749"/>
      <c r="F13" s="749"/>
      <c r="G13" s="749"/>
    </row>
    <row r="14" spans="1:7" ht="15.75">
      <c r="A14" s="771" t="s">
        <v>300</v>
      </c>
      <c r="B14" s="771"/>
      <c r="C14" s="771"/>
      <c r="D14" s="771"/>
      <c r="E14" s="771"/>
      <c r="F14" s="771"/>
      <c r="G14" s="771"/>
    </row>
    <row r="15" spans="1:7" ht="15.75">
      <c r="A15" s="749"/>
      <c r="B15" s="749"/>
      <c r="C15" s="749"/>
      <c r="D15" s="749"/>
      <c r="E15" s="749"/>
      <c r="F15" s="749"/>
      <c r="G15" s="749"/>
    </row>
    <row r="16" spans="1:7" ht="15">
      <c r="A16" s="465"/>
      <c r="B16" s="465"/>
      <c r="C16" s="465"/>
      <c r="D16" s="465"/>
      <c r="E16" s="465"/>
      <c r="F16" s="465"/>
      <c r="G16" s="465"/>
    </row>
    <row r="17" spans="1:7" ht="15.75">
      <c r="A17" s="750" t="s">
        <v>301</v>
      </c>
      <c r="B17" s="750"/>
      <c r="C17" s="750"/>
      <c r="D17" s="750"/>
      <c r="E17" s="750"/>
      <c r="F17" s="750"/>
      <c r="G17" s="750"/>
    </row>
    <row r="18" spans="1:7" ht="15.75" customHeight="1">
      <c r="A18" s="751" t="s">
        <v>0</v>
      </c>
      <c r="B18" s="752"/>
      <c r="C18" s="752"/>
      <c r="D18" s="753"/>
      <c r="E18" s="757" t="s">
        <v>293</v>
      </c>
      <c r="F18" s="757"/>
      <c r="G18" s="757"/>
    </row>
    <row r="19" spans="1:7" ht="47.25" customHeight="1">
      <c r="A19" s="754"/>
      <c r="B19" s="755"/>
      <c r="C19" s="755"/>
      <c r="D19" s="756"/>
      <c r="E19" s="758" t="s">
        <v>294</v>
      </c>
      <c r="F19" s="759"/>
      <c r="G19" s="760"/>
    </row>
    <row r="20" spans="1:7" ht="15.75">
      <c r="A20" s="761">
        <v>1</v>
      </c>
      <c r="B20" s="762"/>
      <c r="C20" s="762"/>
      <c r="D20" s="763"/>
      <c r="E20" s="764">
        <v>4</v>
      </c>
      <c r="F20" s="765"/>
      <c r="G20" s="766"/>
    </row>
    <row r="25" spans="1:7" ht="15.75">
      <c r="A25" s="469" t="s">
        <v>119</v>
      </c>
      <c r="B25" s="469"/>
      <c r="C25" s="469"/>
      <c r="D25" s="469"/>
      <c r="E25" s="469"/>
      <c r="F25" s="469"/>
      <c r="G25" s="470" t="s">
        <v>295</v>
      </c>
    </row>
  </sheetData>
  <sheetProtection/>
  <mergeCells count="13">
    <mergeCell ref="A8:G8"/>
    <mergeCell ref="A9:G9"/>
    <mergeCell ref="A10:G10"/>
    <mergeCell ref="A11:G11"/>
    <mergeCell ref="A13:G13"/>
    <mergeCell ref="A14:G14"/>
    <mergeCell ref="A15:G15"/>
    <mergeCell ref="A17:G17"/>
    <mergeCell ref="A18:D19"/>
    <mergeCell ref="E18:G18"/>
    <mergeCell ref="E19:G19"/>
    <mergeCell ref="A20:D20"/>
    <mergeCell ref="E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6" sqref="A6:G6"/>
    </sheetView>
  </sheetViews>
  <sheetFormatPr defaultColWidth="9.00390625" defaultRowHeight="12.75"/>
  <cols>
    <col min="4" max="4" width="21.125" style="0" customWidth="1"/>
    <col min="5" max="5" width="19.25390625" style="0" customWidth="1"/>
    <col min="6" max="6" width="18.75390625" style="0" customWidth="1"/>
    <col min="7" max="7" width="25.25390625" style="0" customWidth="1"/>
  </cols>
  <sheetData>
    <row r="1" spans="1:7" ht="15.75">
      <c r="A1" s="1"/>
      <c r="B1" s="1"/>
      <c r="C1" s="1"/>
      <c r="D1" s="471"/>
      <c r="E1" s="471"/>
      <c r="F1" s="472"/>
      <c r="G1" s="464" t="s">
        <v>284</v>
      </c>
    </row>
    <row r="2" spans="1:7" ht="15.75">
      <c r="A2" s="1"/>
      <c r="B2" s="1"/>
      <c r="C2" s="1"/>
      <c r="D2" s="471"/>
      <c r="E2" s="471"/>
      <c r="F2" s="466"/>
      <c r="G2" s="464" t="s">
        <v>89</v>
      </c>
    </row>
    <row r="3" spans="1:7" ht="15.75">
      <c r="A3" s="1"/>
      <c r="B3" s="1"/>
      <c r="C3" s="1"/>
      <c r="D3" s="1"/>
      <c r="E3" s="1"/>
      <c r="F3" s="473"/>
      <c r="G3" s="464" t="s">
        <v>90</v>
      </c>
    </row>
    <row r="4" spans="1:7" ht="15.75">
      <c r="A4" s="1"/>
      <c r="B4" s="1"/>
      <c r="C4" s="1"/>
      <c r="D4" s="1"/>
      <c r="E4" s="1"/>
      <c r="F4" s="474" t="s">
        <v>302</v>
      </c>
      <c r="G4" s="464"/>
    </row>
    <row r="5" spans="1:7" ht="15.75">
      <c r="A5" s="1"/>
      <c r="B5" s="1"/>
      <c r="C5" s="1"/>
      <c r="D5" s="1"/>
      <c r="E5" s="1"/>
      <c r="F5" s="474"/>
      <c r="G5" s="464"/>
    </row>
    <row r="6" spans="1:7" ht="19.5">
      <c r="A6" s="780" t="s">
        <v>303</v>
      </c>
      <c r="B6" s="780"/>
      <c r="C6" s="780"/>
      <c r="D6" s="780"/>
      <c r="E6" s="780"/>
      <c r="F6" s="780"/>
      <c r="G6" s="780"/>
    </row>
    <row r="7" spans="1:7" ht="19.5">
      <c r="A7" s="781" t="s">
        <v>304</v>
      </c>
      <c r="B7" s="781"/>
      <c r="C7" s="781"/>
      <c r="D7" s="781"/>
      <c r="E7" s="781"/>
      <c r="F7" s="781"/>
      <c r="G7" s="781"/>
    </row>
    <row r="8" spans="1:7" ht="15.75">
      <c r="A8" s="782" t="s">
        <v>1</v>
      </c>
      <c r="B8" s="782" t="s">
        <v>305</v>
      </c>
      <c r="C8" s="782" t="s">
        <v>39</v>
      </c>
      <c r="D8" s="772" t="s">
        <v>306</v>
      </c>
      <c r="E8" s="772"/>
      <c r="F8" s="772"/>
      <c r="G8" s="772"/>
    </row>
    <row r="9" spans="1:7" ht="47.25">
      <c r="A9" s="782"/>
      <c r="B9" s="782"/>
      <c r="C9" s="782"/>
      <c r="D9" s="476" t="s">
        <v>307</v>
      </c>
      <c r="E9" s="476" t="s">
        <v>308</v>
      </c>
      <c r="F9" s="476" t="s">
        <v>309</v>
      </c>
      <c r="G9" s="476" t="s">
        <v>310</v>
      </c>
    </row>
    <row r="10" spans="1:7" ht="18.75">
      <c r="A10" s="782"/>
      <c r="B10" s="782"/>
      <c r="C10" s="782"/>
      <c r="D10" s="779" t="s">
        <v>311</v>
      </c>
      <c r="E10" s="779"/>
      <c r="F10" s="779"/>
      <c r="G10" s="779"/>
    </row>
    <row r="11" spans="1:7" ht="18.75">
      <c r="A11" s="779" t="s">
        <v>312</v>
      </c>
      <c r="B11" s="779"/>
      <c r="C11" s="779"/>
      <c r="D11" s="779"/>
      <c r="E11" s="779"/>
      <c r="F11" s="779"/>
      <c r="G11" s="779"/>
    </row>
    <row r="12" spans="1:7" ht="15.75">
      <c r="A12" s="772" t="s">
        <v>313</v>
      </c>
      <c r="B12" s="475" t="s">
        <v>314</v>
      </c>
      <c r="C12" s="772" t="s">
        <v>315</v>
      </c>
      <c r="D12" s="477">
        <v>24</v>
      </c>
      <c r="E12" s="477">
        <v>30</v>
      </c>
      <c r="F12" s="477">
        <v>48</v>
      </c>
      <c r="G12" s="477">
        <v>65</v>
      </c>
    </row>
    <row r="13" spans="1:7" ht="15.75">
      <c r="A13" s="772"/>
      <c r="B13" s="475" t="s">
        <v>316</v>
      </c>
      <c r="C13" s="772"/>
      <c r="D13" s="477">
        <v>35</v>
      </c>
      <c r="E13" s="477">
        <v>43</v>
      </c>
      <c r="F13" s="477">
        <v>66</v>
      </c>
      <c r="G13" s="477">
        <v>85</v>
      </c>
    </row>
    <row r="14" spans="1:7" ht="31.5">
      <c r="A14" s="772"/>
      <c r="B14" s="475" t="s">
        <v>6</v>
      </c>
      <c r="C14" s="772"/>
      <c r="D14" s="477">
        <v>45</v>
      </c>
      <c r="E14" s="477">
        <v>58</v>
      </c>
      <c r="F14" s="477">
        <v>90</v>
      </c>
      <c r="G14" s="477">
        <v>110</v>
      </c>
    </row>
    <row r="15" spans="1:7" ht="15.75">
      <c r="A15" s="772" t="s">
        <v>313</v>
      </c>
      <c r="B15" s="475" t="s">
        <v>314</v>
      </c>
      <c r="C15" s="772" t="s">
        <v>317</v>
      </c>
      <c r="D15" s="477">
        <v>20</v>
      </c>
      <c r="E15" s="477">
        <v>23</v>
      </c>
      <c r="F15" s="477">
        <v>39</v>
      </c>
      <c r="G15" s="477">
        <v>50</v>
      </c>
    </row>
    <row r="16" spans="1:7" ht="15.75">
      <c r="A16" s="772"/>
      <c r="B16" s="475" t="s">
        <v>316</v>
      </c>
      <c r="C16" s="772"/>
      <c r="D16" s="477">
        <v>27</v>
      </c>
      <c r="E16" s="477">
        <v>34</v>
      </c>
      <c r="F16" s="477">
        <v>55</v>
      </c>
      <c r="G16" s="477">
        <v>65</v>
      </c>
    </row>
    <row r="17" spans="1:7" ht="31.5">
      <c r="A17" s="772"/>
      <c r="B17" s="475" t="s">
        <v>6</v>
      </c>
      <c r="C17" s="772"/>
      <c r="D17" s="477">
        <v>35</v>
      </c>
      <c r="E17" s="477">
        <v>47</v>
      </c>
      <c r="F17" s="477">
        <v>70</v>
      </c>
      <c r="G17" s="477">
        <v>85</v>
      </c>
    </row>
    <row r="18" spans="1:7" ht="15.75">
      <c r="A18" s="772" t="s">
        <v>313</v>
      </c>
      <c r="B18" s="475" t="s">
        <v>314</v>
      </c>
      <c r="C18" s="772" t="s">
        <v>318</v>
      </c>
      <c r="D18" s="477">
        <v>16</v>
      </c>
      <c r="E18" s="477">
        <v>19</v>
      </c>
      <c r="F18" s="477">
        <v>33</v>
      </c>
      <c r="G18" s="477">
        <v>40</v>
      </c>
    </row>
    <row r="19" spans="1:7" ht="15.75">
      <c r="A19" s="772"/>
      <c r="B19" s="475" t="s">
        <v>316</v>
      </c>
      <c r="C19" s="772"/>
      <c r="D19" s="477">
        <v>22</v>
      </c>
      <c r="E19" s="477">
        <v>28</v>
      </c>
      <c r="F19" s="477">
        <v>42</v>
      </c>
      <c r="G19" s="477">
        <v>52</v>
      </c>
    </row>
    <row r="20" spans="1:7" ht="31.5">
      <c r="A20" s="772"/>
      <c r="B20" s="475" t="s">
        <v>6</v>
      </c>
      <c r="C20" s="772"/>
      <c r="D20" s="477">
        <v>27</v>
      </c>
      <c r="E20" s="477">
        <v>34</v>
      </c>
      <c r="F20" s="477">
        <v>56</v>
      </c>
      <c r="G20" s="477">
        <v>68</v>
      </c>
    </row>
    <row r="21" spans="1:7" ht="15.75">
      <c r="A21" s="773" t="s">
        <v>313</v>
      </c>
      <c r="B21" s="475" t="s">
        <v>314</v>
      </c>
      <c r="C21" s="776" t="s">
        <v>319</v>
      </c>
      <c r="D21" s="477">
        <v>11</v>
      </c>
      <c r="E21" s="477">
        <v>13</v>
      </c>
      <c r="F21" s="477">
        <v>24</v>
      </c>
      <c r="G21" s="477">
        <v>29</v>
      </c>
    </row>
    <row r="22" spans="1:7" ht="15.75">
      <c r="A22" s="774"/>
      <c r="B22" s="475" t="s">
        <v>316</v>
      </c>
      <c r="C22" s="777"/>
      <c r="D22" s="477">
        <v>16</v>
      </c>
      <c r="E22" s="477">
        <v>19.5</v>
      </c>
      <c r="F22" s="477">
        <v>26.5</v>
      </c>
      <c r="G22" s="477">
        <v>32</v>
      </c>
    </row>
    <row r="23" spans="1:7" ht="31.5">
      <c r="A23" s="774"/>
      <c r="B23" s="475" t="s">
        <v>6</v>
      </c>
      <c r="C23" s="777"/>
      <c r="D23" s="477">
        <v>17</v>
      </c>
      <c r="E23" s="477">
        <v>20</v>
      </c>
      <c r="F23" s="477">
        <v>33</v>
      </c>
      <c r="G23" s="477">
        <v>45</v>
      </c>
    </row>
    <row r="24" spans="1:7" ht="15.75">
      <c r="A24" s="775"/>
      <c r="B24" s="478" t="s">
        <v>320</v>
      </c>
      <c r="C24" s="778"/>
      <c r="D24" s="477">
        <v>14</v>
      </c>
      <c r="E24" s="477">
        <v>18</v>
      </c>
      <c r="F24" s="477">
        <v>25.5</v>
      </c>
      <c r="G24" s="477">
        <v>31</v>
      </c>
    </row>
    <row r="25" spans="1:7" ht="18.75">
      <c r="A25" s="779" t="s">
        <v>321</v>
      </c>
      <c r="B25" s="779"/>
      <c r="C25" s="779"/>
      <c r="D25" s="779"/>
      <c r="E25" s="779"/>
      <c r="F25" s="779"/>
      <c r="G25" s="779"/>
    </row>
    <row r="26" spans="1:7" ht="15.75">
      <c r="A26" s="772" t="s">
        <v>313</v>
      </c>
      <c r="B26" s="475" t="s">
        <v>314</v>
      </c>
      <c r="C26" s="772" t="s">
        <v>315</v>
      </c>
      <c r="D26" s="477">
        <v>19</v>
      </c>
      <c r="E26" s="477">
        <v>22</v>
      </c>
      <c r="F26" s="477">
        <v>37</v>
      </c>
      <c r="G26" s="477">
        <v>50</v>
      </c>
    </row>
    <row r="27" spans="1:7" ht="15.75">
      <c r="A27" s="772"/>
      <c r="B27" s="475" t="s">
        <v>316</v>
      </c>
      <c r="C27" s="772"/>
      <c r="D27" s="477">
        <v>24</v>
      </c>
      <c r="E27" s="477">
        <v>26</v>
      </c>
      <c r="F27" s="477">
        <v>41</v>
      </c>
      <c r="G27" s="477">
        <v>57</v>
      </c>
    </row>
    <row r="28" spans="1:7" ht="31.5">
      <c r="A28" s="772"/>
      <c r="B28" s="475" t="s">
        <v>6</v>
      </c>
      <c r="C28" s="772"/>
      <c r="D28" s="477">
        <v>27</v>
      </c>
      <c r="E28" s="477">
        <v>31</v>
      </c>
      <c r="F28" s="477">
        <v>52</v>
      </c>
      <c r="G28" s="477">
        <v>70</v>
      </c>
    </row>
    <row r="29" spans="1:7" ht="15.75">
      <c r="A29" s="772" t="s">
        <v>313</v>
      </c>
      <c r="B29" s="475" t="s">
        <v>314</v>
      </c>
      <c r="C29" s="772" t="s">
        <v>317</v>
      </c>
      <c r="D29" s="477">
        <v>16</v>
      </c>
      <c r="E29" s="477">
        <v>17</v>
      </c>
      <c r="F29" s="477">
        <v>31</v>
      </c>
      <c r="G29" s="477">
        <v>40</v>
      </c>
    </row>
    <row r="30" spans="1:7" ht="15.75">
      <c r="A30" s="772"/>
      <c r="B30" s="475" t="s">
        <v>316</v>
      </c>
      <c r="C30" s="772"/>
      <c r="D30" s="477">
        <v>19</v>
      </c>
      <c r="E30" s="477">
        <v>20</v>
      </c>
      <c r="F30" s="477">
        <v>34</v>
      </c>
      <c r="G30" s="477">
        <v>47</v>
      </c>
    </row>
    <row r="31" spans="1:7" ht="31.5">
      <c r="A31" s="772"/>
      <c r="B31" s="475" t="s">
        <v>6</v>
      </c>
      <c r="C31" s="772"/>
      <c r="D31" s="477">
        <v>23</v>
      </c>
      <c r="E31" s="477">
        <v>25</v>
      </c>
      <c r="F31" s="477">
        <v>42</v>
      </c>
      <c r="G31" s="477">
        <v>58</v>
      </c>
    </row>
    <row r="32" spans="1:7" ht="15.75">
      <c r="A32" s="772" t="s">
        <v>313</v>
      </c>
      <c r="B32" s="475" t="s">
        <v>314</v>
      </c>
      <c r="C32" s="772" t="s">
        <v>318</v>
      </c>
      <c r="D32" s="477">
        <v>14</v>
      </c>
      <c r="E32" s="477">
        <v>16</v>
      </c>
      <c r="F32" s="477">
        <v>26</v>
      </c>
      <c r="G32" s="477">
        <v>32</v>
      </c>
    </row>
    <row r="33" spans="1:7" ht="15.75">
      <c r="A33" s="772"/>
      <c r="B33" s="475" t="s">
        <v>316</v>
      </c>
      <c r="C33" s="772"/>
      <c r="D33" s="477">
        <v>16</v>
      </c>
      <c r="E33" s="477">
        <v>18</v>
      </c>
      <c r="F33" s="477">
        <v>28</v>
      </c>
      <c r="G33" s="477">
        <v>36</v>
      </c>
    </row>
    <row r="34" spans="1:7" ht="31.5">
      <c r="A34" s="772"/>
      <c r="B34" s="475" t="s">
        <v>6</v>
      </c>
      <c r="C34" s="772"/>
      <c r="D34" s="477">
        <v>18</v>
      </c>
      <c r="E34" s="477">
        <v>22</v>
      </c>
      <c r="F34" s="477">
        <v>32</v>
      </c>
      <c r="G34" s="477">
        <v>42</v>
      </c>
    </row>
    <row r="35" spans="1:7" ht="15.75">
      <c r="A35" s="773" t="s">
        <v>313</v>
      </c>
      <c r="B35" s="475" t="s">
        <v>314</v>
      </c>
      <c r="C35" s="776" t="s">
        <v>319</v>
      </c>
      <c r="D35" s="477">
        <v>10</v>
      </c>
      <c r="E35" s="477">
        <v>12</v>
      </c>
      <c r="F35" s="477">
        <v>20</v>
      </c>
      <c r="G35" s="477">
        <v>27</v>
      </c>
    </row>
    <row r="36" spans="1:7" ht="15.75">
      <c r="A36" s="774"/>
      <c r="B36" s="475" t="s">
        <v>316</v>
      </c>
      <c r="C36" s="777"/>
      <c r="D36" s="477">
        <v>14</v>
      </c>
      <c r="E36" s="477">
        <v>16</v>
      </c>
      <c r="F36" s="477">
        <v>23</v>
      </c>
      <c r="G36" s="477">
        <v>30</v>
      </c>
    </row>
    <row r="37" spans="1:7" ht="31.5">
      <c r="A37" s="774"/>
      <c r="B37" s="475" t="s">
        <v>6</v>
      </c>
      <c r="C37" s="777"/>
      <c r="D37" s="477">
        <v>16</v>
      </c>
      <c r="E37" s="477">
        <v>18</v>
      </c>
      <c r="F37" s="477">
        <v>27</v>
      </c>
      <c r="G37" s="477">
        <v>38</v>
      </c>
    </row>
    <row r="38" spans="1:7" ht="15.75">
      <c r="A38" s="775"/>
      <c r="B38" s="479" t="s">
        <v>320</v>
      </c>
      <c r="C38" s="778"/>
      <c r="D38" s="477">
        <v>12</v>
      </c>
      <c r="E38" s="477">
        <v>14</v>
      </c>
      <c r="F38" s="477">
        <v>21</v>
      </c>
      <c r="G38" s="477">
        <v>28</v>
      </c>
    </row>
    <row r="39" spans="1:7" ht="18.75">
      <c r="A39" s="779" t="s">
        <v>322</v>
      </c>
      <c r="B39" s="779"/>
      <c r="C39" s="779"/>
      <c r="D39" s="779"/>
      <c r="E39" s="779"/>
      <c r="F39" s="779"/>
      <c r="G39" s="779"/>
    </row>
    <row r="40" spans="1:7" ht="15.75">
      <c r="A40" s="772" t="s">
        <v>313</v>
      </c>
      <c r="B40" s="475" t="s">
        <v>314</v>
      </c>
      <c r="C40" s="772" t="s">
        <v>315</v>
      </c>
      <c r="D40" s="477">
        <v>18</v>
      </c>
      <c r="E40" s="477">
        <v>21</v>
      </c>
      <c r="F40" s="477">
        <v>35</v>
      </c>
      <c r="G40" s="477">
        <v>48</v>
      </c>
    </row>
    <row r="41" spans="1:7" ht="15.75">
      <c r="A41" s="772"/>
      <c r="B41" s="475" t="s">
        <v>316</v>
      </c>
      <c r="C41" s="772"/>
      <c r="D41" s="477">
        <v>23</v>
      </c>
      <c r="E41" s="477">
        <v>25</v>
      </c>
      <c r="F41" s="477">
        <v>39</v>
      </c>
      <c r="G41" s="477">
        <v>54</v>
      </c>
    </row>
    <row r="42" spans="1:7" ht="31.5">
      <c r="A42" s="772"/>
      <c r="B42" s="475" t="s">
        <v>6</v>
      </c>
      <c r="C42" s="772"/>
      <c r="D42" s="477">
        <v>26</v>
      </c>
      <c r="E42" s="477">
        <v>29</v>
      </c>
      <c r="F42" s="477">
        <v>49</v>
      </c>
      <c r="G42" s="477">
        <v>67</v>
      </c>
    </row>
    <row r="43" spans="1:7" ht="15.75">
      <c r="A43" s="772" t="s">
        <v>313</v>
      </c>
      <c r="B43" s="475" t="s">
        <v>314</v>
      </c>
      <c r="C43" s="772" t="s">
        <v>317</v>
      </c>
      <c r="D43" s="477">
        <v>15</v>
      </c>
      <c r="E43" s="477">
        <v>16</v>
      </c>
      <c r="F43" s="477">
        <v>29</v>
      </c>
      <c r="G43" s="477">
        <v>38</v>
      </c>
    </row>
    <row r="44" spans="1:7" ht="15.75">
      <c r="A44" s="772"/>
      <c r="B44" s="475" t="s">
        <v>316</v>
      </c>
      <c r="C44" s="772"/>
      <c r="D44" s="477">
        <v>18</v>
      </c>
      <c r="E44" s="477">
        <v>19</v>
      </c>
      <c r="F44" s="477">
        <v>32</v>
      </c>
      <c r="G44" s="477">
        <v>45</v>
      </c>
    </row>
    <row r="45" spans="1:7" ht="31.5">
      <c r="A45" s="772"/>
      <c r="B45" s="475" t="s">
        <v>6</v>
      </c>
      <c r="C45" s="772"/>
      <c r="D45" s="477">
        <v>22</v>
      </c>
      <c r="E45" s="477">
        <v>24</v>
      </c>
      <c r="F45" s="477">
        <v>40</v>
      </c>
      <c r="G45" s="477">
        <v>55</v>
      </c>
    </row>
    <row r="46" spans="1:7" ht="15.75">
      <c r="A46" s="772" t="s">
        <v>313</v>
      </c>
      <c r="B46" s="475" t="s">
        <v>314</v>
      </c>
      <c r="C46" s="772" t="s">
        <v>318</v>
      </c>
      <c r="D46" s="477">
        <v>13</v>
      </c>
      <c r="E46" s="477">
        <v>15</v>
      </c>
      <c r="F46" s="477">
        <v>25</v>
      </c>
      <c r="G46" s="477">
        <v>30</v>
      </c>
    </row>
    <row r="47" spans="1:7" ht="15.75">
      <c r="A47" s="772"/>
      <c r="B47" s="475" t="s">
        <v>316</v>
      </c>
      <c r="C47" s="772"/>
      <c r="D47" s="477">
        <v>15</v>
      </c>
      <c r="E47" s="477">
        <v>17</v>
      </c>
      <c r="F47" s="477">
        <v>27</v>
      </c>
      <c r="G47" s="477">
        <v>34</v>
      </c>
    </row>
    <row r="48" spans="1:7" ht="31.5">
      <c r="A48" s="772"/>
      <c r="B48" s="475" t="s">
        <v>6</v>
      </c>
      <c r="C48" s="772"/>
      <c r="D48" s="477">
        <v>17</v>
      </c>
      <c r="E48" s="477">
        <v>21</v>
      </c>
      <c r="F48" s="477">
        <v>30</v>
      </c>
      <c r="G48" s="477">
        <v>40</v>
      </c>
    </row>
    <row r="49" spans="1:7" ht="15.75">
      <c r="A49" s="773" t="s">
        <v>313</v>
      </c>
      <c r="B49" s="475" t="s">
        <v>314</v>
      </c>
      <c r="C49" s="776" t="s">
        <v>319</v>
      </c>
      <c r="D49" s="477">
        <v>10</v>
      </c>
      <c r="E49" s="477">
        <v>11</v>
      </c>
      <c r="F49" s="477">
        <v>19</v>
      </c>
      <c r="G49" s="477">
        <v>26</v>
      </c>
    </row>
    <row r="50" spans="1:7" ht="15.75">
      <c r="A50" s="774"/>
      <c r="B50" s="475" t="s">
        <v>316</v>
      </c>
      <c r="C50" s="777"/>
      <c r="D50" s="477">
        <v>13</v>
      </c>
      <c r="E50" s="477">
        <v>15</v>
      </c>
      <c r="F50" s="477">
        <v>22</v>
      </c>
      <c r="G50" s="477">
        <v>28</v>
      </c>
    </row>
    <row r="51" spans="1:7" ht="31.5">
      <c r="A51" s="774"/>
      <c r="B51" s="475" t="s">
        <v>6</v>
      </c>
      <c r="C51" s="777"/>
      <c r="D51" s="477">
        <v>15</v>
      </c>
      <c r="E51" s="477">
        <v>17</v>
      </c>
      <c r="F51" s="477">
        <v>26</v>
      </c>
      <c r="G51" s="477">
        <v>36</v>
      </c>
    </row>
    <row r="52" spans="1:7" ht="15.75">
      <c r="A52" s="775"/>
      <c r="B52" s="479" t="s">
        <v>320</v>
      </c>
      <c r="C52" s="778"/>
      <c r="D52" s="477">
        <v>11</v>
      </c>
      <c r="E52" s="477">
        <v>13</v>
      </c>
      <c r="F52" s="477">
        <v>20</v>
      </c>
      <c r="G52" s="477">
        <v>27</v>
      </c>
    </row>
    <row r="53" spans="1:7" ht="15.75">
      <c r="A53" s="1"/>
      <c r="B53" s="1"/>
      <c r="C53" s="1"/>
      <c r="D53" s="1"/>
      <c r="E53" s="1"/>
      <c r="F53" s="1"/>
      <c r="G53" s="1"/>
    </row>
    <row r="54" spans="1:7" ht="15.75">
      <c r="A54" s="1"/>
      <c r="B54" s="1"/>
      <c r="C54" s="1"/>
      <c r="D54" s="1"/>
      <c r="E54" s="1"/>
      <c r="F54" s="1"/>
      <c r="G54" s="1"/>
    </row>
    <row r="55" spans="1:7" ht="15.75">
      <c r="A55" s="1"/>
      <c r="B55" s="16" t="s">
        <v>323</v>
      </c>
      <c r="C55" s="1"/>
      <c r="D55" s="1"/>
      <c r="E55" s="1"/>
      <c r="F55" s="24" t="s">
        <v>295</v>
      </c>
      <c r="G55" s="1"/>
    </row>
    <row r="56" spans="1:7" ht="15.75">
      <c r="A56" s="20"/>
      <c r="B56" s="20">
        <v>50287</v>
      </c>
      <c r="C56" s="1"/>
      <c r="D56" s="1"/>
      <c r="E56" s="1"/>
      <c r="F56" s="1"/>
      <c r="G56" s="1"/>
    </row>
  </sheetData>
  <sheetProtection/>
  <mergeCells count="34">
    <mergeCell ref="A6:G6"/>
    <mergeCell ref="A7:G7"/>
    <mergeCell ref="A8:A10"/>
    <mergeCell ref="B8:B10"/>
    <mergeCell ref="C8:C10"/>
    <mergeCell ref="D8:G8"/>
    <mergeCell ref="D10:G10"/>
    <mergeCell ref="A11:G11"/>
    <mergeCell ref="A12:A14"/>
    <mergeCell ref="C12:C14"/>
    <mergeCell ref="A15:A17"/>
    <mergeCell ref="C15:C17"/>
    <mergeCell ref="A18:A20"/>
    <mergeCell ref="C18:C20"/>
    <mergeCell ref="A21:A24"/>
    <mergeCell ref="C21:C24"/>
    <mergeCell ref="A25:G25"/>
    <mergeCell ref="A26:A28"/>
    <mergeCell ref="C26:C28"/>
    <mergeCell ref="A29:A31"/>
    <mergeCell ref="C29:C31"/>
    <mergeCell ref="A32:A34"/>
    <mergeCell ref="C32:C34"/>
    <mergeCell ref="A35:A38"/>
    <mergeCell ref="C35:C38"/>
    <mergeCell ref="A39:G39"/>
    <mergeCell ref="A40:A42"/>
    <mergeCell ref="C40:C42"/>
    <mergeCell ref="A43:A45"/>
    <mergeCell ref="C43:C45"/>
    <mergeCell ref="A46:A48"/>
    <mergeCell ref="C46:C48"/>
    <mergeCell ref="A49:A52"/>
    <mergeCell ref="C49:C5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6" sqref="A6:G6"/>
    </sheetView>
  </sheetViews>
  <sheetFormatPr defaultColWidth="9.00390625" defaultRowHeight="12.75"/>
  <cols>
    <col min="4" max="4" width="17.75390625" style="0" customWidth="1"/>
    <col min="5" max="5" width="18.375" style="0" customWidth="1"/>
    <col min="6" max="6" width="20.125" style="0" customWidth="1"/>
    <col min="7" max="7" width="27.375" style="0" customWidth="1"/>
  </cols>
  <sheetData>
    <row r="1" spans="1:7" ht="15.75">
      <c r="A1" s="1"/>
      <c r="B1" s="1"/>
      <c r="C1" s="1"/>
      <c r="D1" s="471"/>
      <c r="E1" s="471"/>
      <c r="F1" s="472"/>
      <c r="G1" s="464" t="s">
        <v>284</v>
      </c>
    </row>
    <row r="2" spans="1:7" ht="15.75">
      <c r="A2" s="1"/>
      <c r="B2" s="1"/>
      <c r="C2" s="1"/>
      <c r="D2" s="471"/>
      <c r="E2" s="471"/>
      <c r="F2" s="466"/>
      <c r="G2" s="464" t="s">
        <v>89</v>
      </c>
    </row>
    <row r="3" spans="1:7" ht="15.75">
      <c r="A3" s="1"/>
      <c r="B3" s="1"/>
      <c r="C3" s="1"/>
      <c r="D3" s="1"/>
      <c r="E3" s="1"/>
      <c r="F3" s="473"/>
      <c r="G3" s="464" t="s">
        <v>90</v>
      </c>
    </row>
    <row r="4" spans="1:7" ht="15.75">
      <c r="A4" s="1"/>
      <c r="B4" s="1"/>
      <c r="C4" s="1"/>
      <c r="D4" s="1"/>
      <c r="E4" s="1"/>
      <c r="F4" s="474" t="s">
        <v>324</v>
      </c>
      <c r="G4" s="464"/>
    </row>
    <row r="5" spans="1:7" ht="15.75">
      <c r="A5" s="1"/>
      <c r="B5" s="1"/>
      <c r="C5" s="1"/>
      <c r="D5" s="1"/>
      <c r="E5" s="1"/>
      <c r="F5" s="474"/>
      <c r="G5" s="464"/>
    </row>
    <row r="6" spans="1:7" ht="19.5">
      <c r="A6" s="780" t="s">
        <v>325</v>
      </c>
      <c r="B6" s="780"/>
      <c r="C6" s="780"/>
      <c r="D6" s="780"/>
      <c r="E6" s="780"/>
      <c r="F6" s="780"/>
      <c r="G6" s="780"/>
    </row>
    <row r="7" spans="1:7" ht="19.5">
      <c r="A7" s="781" t="s">
        <v>326</v>
      </c>
      <c r="B7" s="781"/>
      <c r="C7" s="781"/>
      <c r="D7" s="781"/>
      <c r="E7" s="781"/>
      <c r="F7" s="781"/>
      <c r="G7" s="781"/>
    </row>
    <row r="8" spans="1:7" ht="15.75">
      <c r="A8" s="782" t="s">
        <v>1</v>
      </c>
      <c r="B8" s="782" t="s">
        <v>305</v>
      </c>
      <c r="C8" s="782" t="s">
        <v>39</v>
      </c>
      <c r="D8" s="772" t="s">
        <v>306</v>
      </c>
      <c r="E8" s="772"/>
      <c r="F8" s="772"/>
      <c r="G8" s="772"/>
    </row>
    <row r="9" spans="1:7" ht="63">
      <c r="A9" s="782"/>
      <c r="B9" s="782"/>
      <c r="C9" s="782"/>
      <c r="D9" s="476" t="s">
        <v>307</v>
      </c>
      <c r="E9" s="476" t="s">
        <v>308</v>
      </c>
      <c r="F9" s="476" t="s">
        <v>309</v>
      </c>
      <c r="G9" s="476" t="s">
        <v>310</v>
      </c>
    </row>
    <row r="10" spans="1:7" ht="18.75">
      <c r="A10" s="782"/>
      <c r="B10" s="782"/>
      <c r="C10" s="782"/>
      <c r="D10" s="779" t="s">
        <v>311</v>
      </c>
      <c r="E10" s="779"/>
      <c r="F10" s="779"/>
      <c r="G10" s="779"/>
    </row>
    <row r="11" spans="1:7" ht="18.75">
      <c r="A11" s="783" t="s">
        <v>327</v>
      </c>
      <c r="B11" s="718"/>
      <c r="C11" s="718"/>
      <c r="D11" s="718"/>
      <c r="E11" s="718"/>
      <c r="F11" s="718"/>
      <c r="G11" s="784"/>
    </row>
    <row r="12" spans="1:7" ht="15.75">
      <c r="A12" s="773" t="s">
        <v>313</v>
      </c>
      <c r="B12" s="475" t="s">
        <v>314</v>
      </c>
      <c r="C12" s="776" t="s">
        <v>319</v>
      </c>
      <c r="D12" s="477">
        <v>30</v>
      </c>
      <c r="E12" s="477">
        <v>38</v>
      </c>
      <c r="F12" s="477">
        <v>51</v>
      </c>
      <c r="G12" s="477">
        <v>64</v>
      </c>
    </row>
    <row r="13" spans="1:7" ht="15.75">
      <c r="A13" s="774"/>
      <c r="B13" s="475" t="s">
        <v>316</v>
      </c>
      <c r="C13" s="777"/>
      <c r="D13" s="477">
        <v>41</v>
      </c>
      <c r="E13" s="477">
        <v>55</v>
      </c>
      <c r="F13" s="477">
        <v>72</v>
      </c>
      <c r="G13" s="477">
        <v>93</v>
      </c>
    </row>
    <row r="14" spans="1:7" ht="31.5">
      <c r="A14" s="774"/>
      <c r="B14" s="475" t="s">
        <v>6</v>
      </c>
      <c r="C14" s="777"/>
      <c r="D14" s="477">
        <v>59</v>
      </c>
      <c r="E14" s="477">
        <v>76</v>
      </c>
      <c r="F14" s="477">
        <v>93</v>
      </c>
      <c r="G14" s="477">
        <v>124</v>
      </c>
    </row>
    <row r="15" spans="1:7" ht="15.75">
      <c r="A15" s="775"/>
      <c r="B15" s="479" t="s">
        <v>320</v>
      </c>
      <c r="C15" s="778"/>
      <c r="D15" s="477">
        <v>46</v>
      </c>
      <c r="E15" s="477">
        <v>55</v>
      </c>
      <c r="F15" s="477">
        <v>73</v>
      </c>
      <c r="G15" s="477">
        <v>92</v>
      </c>
    </row>
    <row r="16" spans="1:7" ht="15.75">
      <c r="A16" s="1"/>
      <c r="B16" s="1"/>
      <c r="C16" s="1"/>
      <c r="D16" s="1"/>
      <c r="E16" s="1"/>
      <c r="F16" s="1"/>
      <c r="G16" s="1"/>
    </row>
    <row r="17" spans="1:7" ht="15.75">
      <c r="A17" s="1"/>
      <c r="B17" s="1"/>
      <c r="C17" s="1"/>
      <c r="D17" s="1"/>
      <c r="E17" s="1"/>
      <c r="F17" s="1"/>
      <c r="G17" s="1"/>
    </row>
    <row r="18" spans="1:7" ht="15.75">
      <c r="A18" s="1"/>
      <c r="B18" s="16" t="s">
        <v>323</v>
      </c>
      <c r="C18" s="1"/>
      <c r="D18" s="1"/>
      <c r="E18" s="1"/>
      <c r="F18" s="24" t="s">
        <v>295</v>
      </c>
      <c r="G18" s="1"/>
    </row>
    <row r="19" spans="1:7" ht="15.75">
      <c r="A19" s="20"/>
      <c r="B19" s="20">
        <v>50287</v>
      </c>
      <c r="C19" s="1"/>
      <c r="D19" s="1"/>
      <c r="E19" s="1"/>
      <c r="F19" s="1"/>
      <c r="G19" s="1"/>
    </row>
  </sheetData>
  <sheetProtection/>
  <mergeCells count="10">
    <mergeCell ref="A11:G11"/>
    <mergeCell ref="A12:A15"/>
    <mergeCell ref="C12:C15"/>
    <mergeCell ref="A6:G6"/>
    <mergeCell ref="A7:G7"/>
    <mergeCell ref="A8:A10"/>
    <mergeCell ref="B8:B10"/>
    <mergeCell ref="C8:C10"/>
    <mergeCell ref="D8:G8"/>
    <mergeCell ref="D10:G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74"/>
  <sheetViews>
    <sheetView view="pageBreakPreview" zoomScaleSheetLayoutView="100" zoomScalePageLayoutView="0" workbookViewId="0" topLeftCell="B1">
      <selection activeCell="B6" sqref="B6:I6"/>
    </sheetView>
  </sheetViews>
  <sheetFormatPr defaultColWidth="9.00390625" defaultRowHeight="12.75"/>
  <cols>
    <col min="1" max="1" width="9.125" style="0" hidden="1" customWidth="1"/>
    <col min="2" max="2" width="13.375" style="0" customWidth="1"/>
    <col min="3" max="3" width="16.125" style="0" customWidth="1"/>
    <col min="4" max="4" width="11.125" style="0" customWidth="1"/>
    <col min="5" max="5" width="9.125" style="0" hidden="1" customWidth="1"/>
    <col min="6" max="6" width="12.00390625" style="0" hidden="1" customWidth="1"/>
    <col min="7" max="7" width="30.625" style="0" customWidth="1"/>
    <col min="8" max="8" width="13.25390625" style="0" hidden="1" customWidth="1"/>
    <col min="9" max="9" width="29.625" style="0" customWidth="1"/>
    <col min="10" max="11" width="0" style="0" hidden="1" customWidth="1"/>
    <col min="12" max="12" width="11.625" style="0" hidden="1" customWidth="1"/>
    <col min="13" max="13" width="11.125" style="0" hidden="1" customWidth="1"/>
    <col min="14" max="14" width="11.625" style="0" hidden="1" customWidth="1"/>
    <col min="15" max="15" width="9.125" style="0" hidden="1" customWidth="1"/>
  </cols>
  <sheetData>
    <row r="1" spans="4:11" s="3" customFormat="1" ht="18.75">
      <c r="D1" s="16"/>
      <c r="E1" s="16"/>
      <c r="F1" s="16"/>
      <c r="H1" s="18"/>
      <c r="I1" s="19" t="s">
        <v>88</v>
      </c>
      <c r="J1" s="16"/>
      <c r="K1" s="154"/>
    </row>
    <row r="2" spans="4:15" s="3" customFormat="1" ht="18.75">
      <c r="D2" s="16"/>
      <c r="E2" s="16"/>
      <c r="F2" s="16"/>
      <c r="H2" s="22"/>
      <c r="I2" s="19" t="s">
        <v>89</v>
      </c>
      <c r="J2" s="7"/>
      <c r="K2" s="232"/>
      <c r="L2" s="233"/>
      <c r="M2" s="233"/>
      <c r="N2" s="233"/>
      <c r="O2" s="233"/>
    </row>
    <row r="3" spans="4:15" s="3" customFormat="1" ht="18.75">
      <c r="D3" s="16"/>
      <c r="E3" s="16"/>
      <c r="F3" s="16"/>
      <c r="G3" s="197"/>
      <c r="H3" s="196"/>
      <c r="I3" s="234" t="s">
        <v>151</v>
      </c>
      <c r="J3" s="7"/>
      <c r="K3" s="235"/>
      <c r="L3" s="233"/>
      <c r="M3" s="233"/>
      <c r="N3" s="233"/>
      <c r="O3" s="233"/>
    </row>
    <row r="4" spans="4:15" s="3" customFormat="1" ht="15.75">
      <c r="D4" s="16"/>
      <c r="E4" s="16"/>
      <c r="F4" s="16"/>
      <c r="G4" s="16"/>
      <c r="H4" s="156"/>
      <c r="I4" s="16" t="s">
        <v>328</v>
      </c>
      <c r="J4" s="7"/>
      <c r="K4" s="235"/>
      <c r="L4" s="233"/>
      <c r="M4" s="233"/>
      <c r="N4" s="233"/>
      <c r="O4" s="233"/>
    </row>
    <row r="5" spans="4:15" s="3" customFormat="1" ht="15.75">
      <c r="D5" s="16"/>
      <c r="E5" s="16"/>
      <c r="F5" s="16"/>
      <c r="G5" s="16"/>
      <c r="H5" s="156"/>
      <c r="I5" s="16" t="s">
        <v>329</v>
      </c>
      <c r="J5" s="7"/>
      <c r="K5" s="235"/>
      <c r="L5" s="233"/>
      <c r="M5" s="233"/>
      <c r="N5" s="233"/>
      <c r="O5" s="233"/>
    </row>
    <row r="6" spans="1:15" s="29" customFormat="1" ht="21.75" customHeight="1">
      <c r="A6" s="25"/>
      <c r="B6" s="532" t="s">
        <v>330</v>
      </c>
      <c r="C6" s="532"/>
      <c r="D6" s="532"/>
      <c r="E6" s="532"/>
      <c r="F6" s="532"/>
      <c r="G6" s="532"/>
      <c r="H6" s="532"/>
      <c r="I6" s="532"/>
      <c r="J6" s="236"/>
      <c r="K6" s="157"/>
      <c r="L6" s="157"/>
      <c r="M6" s="157"/>
      <c r="N6" s="161"/>
      <c r="O6" s="161"/>
    </row>
    <row r="7" spans="1:15" s="29" customFormat="1" ht="21" customHeight="1">
      <c r="A7" s="158"/>
      <c r="B7" s="643" t="s">
        <v>277</v>
      </c>
      <c r="C7" s="643"/>
      <c r="D7" s="643"/>
      <c r="E7" s="643"/>
      <c r="F7" s="643"/>
      <c r="G7" s="643"/>
      <c r="H7" s="643"/>
      <c r="I7" s="643"/>
      <c r="J7" s="159"/>
      <c r="K7" s="232"/>
      <c r="L7" s="161"/>
      <c r="M7" s="161"/>
      <c r="N7" s="161"/>
      <c r="O7" s="161"/>
    </row>
    <row r="8" spans="1:15" s="3" customFormat="1" ht="21" customHeight="1">
      <c r="A8" s="162"/>
      <c r="B8" s="629" t="s">
        <v>278</v>
      </c>
      <c r="C8" s="629"/>
      <c r="D8" s="629"/>
      <c r="E8" s="629"/>
      <c r="F8" s="629"/>
      <c r="G8" s="629"/>
      <c r="H8" s="629"/>
      <c r="I8" s="629"/>
      <c r="J8" s="238"/>
      <c r="K8" s="239"/>
      <c r="L8" s="233"/>
      <c r="M8" s="233"/>
      <c r="N8" s="233"/>
      <c r="O8" s="233"/>
    </row>
    <row r="9" spans="1:15" s="3" customFormat="1" ht="19.5" customHeight="1" thickBot="1">
      <c r="A9" s="42"/>
      <c r="B9" s="644" t="s">
        <v>279</v>
      </c>
      <c r="C9" s="644"/>
      <c r="D9" s="644"/>
      <c r="E9" s="644"/>
      <c r="F9" s="644"/>
      <c r="G9" s="644"/>
      <c r="H9" s="644"/>
      <c r="I9" s="644"/>
      <c r="J9" s="44"/>
      <c r="K9" s="164"/>
      <c r="L9" s="535"/>
      <c r="M9" s="535"/>
      <c r="N9" s="165"/>
      <c r="O9" s="233"/>
    </row>
    <row r="10" spans="1:15" s="3" customFormat="1" ht="32.25" customHeight="1" thickBot="1">
      <c r="A10" s="91"/>
      <c r="B10" s="685" t="s">
        <v>40</v>
      </c>
      <c r="C10" s="685" t="s">
        <v>156</v>
      </c>
      <c r="D10" s="689" t="s">
        <v>280</v>
      </c>
      <c r="E10" s="745" t="s">
        <v>158</v>
      </c>
      <c r="F10" s="746"/>
      <c r="G10" s="747"/>
      <c r="H10" s="747"/>
      <c r="I10" s="748"/>
      <c r="J10" s="44"/>
      <c r="K10" s="654"/>
      <c r="L10" s="654"/>
      <c r="M10" s="654"/>
      <c r="N10" s="654"/>
      <c r="O10" s="233"/>
    </row>
    <row r="11" spans="1:15" s="3" customFormat="1" ht="18" customHeight="1" thickBot="1">
      <c r="A11" s="91"/>
      <c r="B11" s="715"/>
      <c r="C11" s="715"/>
      <c r="D11" s="744"/>
      <c r="E11" s="447" t="s">
        <v>159</v>
      </c>
      <c r="F11" s="448" t="s">
        <v>98</v>
      </c>
      <c r="G11" s="732" t="s">
        <v>99</v>
      </c>
      <c r="H11" s="732"/>
      <c r="I11" s="733"/>
      <c r="J11" s="44"/>
      <c r="K11" s="45"/>
      <c r="L11" s="45"/>
      <c r="M11" s="45"/>
      <c r="N11" s="45"/>
      <c r="O11" s="233"/>
    </row>
    <row r="12" spans="1:15" s="3" customFormat="1" ht="19.5" thickBot="1">
      <c r="A12" s="4"/>
      <c r="B12" s="734" t="s">
        <v>331</v>
      </c>
      <c r="C12" s="737" t="s">
        <v>282</v>
      </c>
      <c r="D12" s="256">
        <v>2</v>
      </c>
      <c r="E12" s="87"/>
      <c r="F12" s="244">
        <f>1.1*F14</f>
        <v>1298000</v>
      </c>
      <c r="G12" s="739">
        <v>64</v>
      </c>
      <c r="H12" s="739"/>
      <c r="I12" s="740"/>
      <c r="J12" s="66"/>
      <c r="K12" s="60"/>
      <c r="L12" s="60"/>
      <c r="M12" s="60"/>
      <c r="N12" s="60"/>
      <c r="O12" s="233"/>
    </row>
    <row r="13" spans="1:15" s="3" customFormat="1" ht="19.5" thickBot="1">
      <c r="A13" s="4"/>
      <c r="B13" s="735"/>
      <c r="C13" s="738"/>
      <c r="D13" s="125" t="s">
        <v>77</v>
      </c>
      <c r="E13" s="128"/>
      <c r="F13" s="449">
        <f>ROUND(F12*0.8/10,100)*10</f>
        <v>1038400</v>
      </c>
      <c r="G13" s="741">
        <v>43</v>
      </c>
      <c r="H13" s="741"/>
      <c r="I13" s="742"/>
      <c r="J13" s="66"/>
      <c r="K13" s="60"/>
      <c r="L13" s="60"/>
      <c r="M13" s="60"/>
      <c r="N13" s="60"/>
      <c r="O13" s="233"/>
    </row>
    <row r="14" spans="1:15" s="3" customFormat="1" ht="19.5" thickBot="1">
      <c r="A14" s="4"/>
      <c r="B14" s="735"/>
      <c r="C14" s="737" t="s">
        <v>283</v>
      </c>
      <c r="D14" s="209">
        <v>2</v>
      </c>
      <c r="E14" s="179"/>
      <c r="F14" s="450">
        <v>1180000</v>
      </c>
      <c r="G14" s="739">
        <v>86</v>
      </c>
      <c r="H14" s="739"/>
      <c r="I14" s="739"/>
      <c r="J14" s="66"/>
      <c r="K14" s="60"/>
      <c r="L14" s="60"/>
      <c r="M14" s="60"/>
      <c r="N14" s="60"/>
      <c r="O14" s="233"/>
    </row>
    <row r="15" spans="1:15" s="3" customFormat="1" ht="19.5" thickBot="1">
      <c r="A15" s="4"/>
      <c r="B15" s="735"/>
      <c r="C15" s="743"/>
      <c r="D15" s="256" t="s">
        <v>77</v>
      </c>
      <c r="E15" s="183"/>
      <c r="F15" s="451">
        <f>ROUND(F14*0.8/10,100)*10</f>
        <v>944000</v>
      </c>
      <c r="G15" s="741">
        <v>64</v>
      </c>
      <c r="H15" s="741"/>
      <c r="I15" s="741"/>
      <c r="J15" s="66"/>
      <c r="K15" s="60"/>
      <c r="L15" s="60"/>
      <c r="M15" s="60"/>
      <c r="N15" s="60"/>
      <c r="O15" s="233"/>
    </row>
    <row r="16" spans="1:15" s="3" customFormat="1" ht="18" customHeight="1" thickBot="1">
      <c r="A16" s="4"/>
      <c r="B16" s="736"/>
      <c r="C16" s="738"/>
      <c r="D16" s="125" t="s">
        <v>78</v>
      </c>
      <c r="E16" s="90">
        <f>ROUND(E14*0.8/10,100)*10</f>
        <v>0</v>
      </c>
      <c r="F16" s="449">
        <f>ROUND(F14*0.56/10,100)*10</f>
        <v>660800</v>
      </c>
      <c r="G16" s="741">
        <v>43</v>
      </c>
      <c r="H16" s="741"/>
      <c r="I16" s="741"/>
      <c r="J16" s="59"/>
      <c r="K16" s="60"/>
      <c r="L16" s="60"/>
      <c r="M16" s="60"/>
      <c r="N16" s="60"/>
      <c r="O16" s="233"/>
    </row>
    <row r="17" spans="1:15" s="3" customFormat="1" ht="18.75">
      <c r="A17" s="4"/>
      <c r="B17" s="452"/>
      <c r="C17" s="512"/>
      <c r="D17" s="62"/>
      <c r="E17" s="383"/>
      <c r="F17" s="383"/>
      <c r="G17" s="220"/>
      <c r="H17" s="205"/>
      <c r="I17" s="220"/>
      <c r="J17" s="59"/>
      <c r="K17" s="60"/>
      <c r="L17" s="60"/>
      <c r="M17" s="60"/>
      <c r="N17" s="60"/>
      <c r="O17" s="233"/>
    </row>
    <row r="18" spans="1:15" s="3" customFormat="1" ht="18.75">
      <c r="A18" s="4"/>
      <c r="B18" s="453"/>
      <c r="C18" s="512"/>
      <c r="D18" s="62"/>
      <c r="E18" s="205"/>
      <c r="F18" s="205"/>
      <c r="G18" s="220"/>
      <c r="H18" s="205"/>
      <c r="I18" s="220"/>
      <c r="J18" s="66"/>
      <c r="K18" s="60"/>
      <c r="L18" s="60"/>
      <c r="M18" s="60"/>
      <c r="N18" s="60"/>
      <c r="O18" s="233"/>
    </row>
    <row r="19" spans="1:15" s="3" customFormat="1" ht="18.75">
      <c r="A19" s="4"/>
      <c r="B19" s="453"/>
      <c r="C19" s="512"/>
      <c r="D19" s="62"/>
      <c r="E19" s="205"/>
      <c r="F19" s="383"/>
      <c r="G19" s="220"/>
      <c r="H19" s="383"/>
      <c r="I19" s="220"/>
      <c r="J19" s="66"/>
      <c r="K19" s="60"/>
      <c r="L19" s="60"/>
      <c r="M19" s="60"/>
      <c r="N19" s="60"/>
      <c r="O19" s="233"/>
    </row>
    <row r="20" spans="1:15" s="3" customFormat="1" ht="18.75">
      <c r="A20" s="4"/>
      <c r="B20" s="453"/>
      <c r="C20" s="512"/>
      <c r="D20" s="62"/>
      <c r="E20" s="383"/>
      <c r="F20" s="383"/>
      <c r="G20" s="220"/>
      <c r="H20" s="383"/>
      <c r="I20" s="220"/>
      <c r="J20" s="59"/>
      <c r="K20" s="60"/>
      <c r="L20" s="60"/>
      <c r="M20" s="60"/>
      <c r="N20" s="60"/>
      <c r="O20" s="233"/>
    </row>
    <row r="21" spans="1:15" s="3" customFormat="1" ht="18.75">
      <c r="A21" s="4"/>
      <c r="B21" s="453"/>
      <c r="C21" s="512"/>
      <c r="D21" s="62"/>
      <c r="E21" s="205"/>
      <c r="F21" s="205"/>
      <c r="G21" s="220"/>
      <c r="H21" s="205"/>
      <c r="I21" s="220"/>
      <c r="J21" s="66"/>
      <c r="K21" s="60"/>
      <c r="L21" s="60"/>
      <c r="M21" s="60"/>
      <c r="N21" s="60"/>
      <c r="O21" s="233"/>
    </row>
    <row r="22" spans="1:15" s="3" customFormat="1" ht="18.75">
      <c r="A22" s="4"/>
      <c r="B22" s="453"/>
      <c r="C22" s="512"/>
      <c r="D22" s="62"/>
      <c r="E22" s="454"/>
      <c r="F22" s="454"/>
      <c r="G22" s="220"/>
      <c r="H22" s="454"/>
      <c r="I22" s="220"/>
      <c r="J22" s="182"/>
      <c r="K22" s="60"/>
      <c r="L22" s="60"/>
      <c r="M22" s="60"/>
      <c r="N22" s="60"/>
      <c r="O22" s="233"/>
    </row>
    <row r="23" spans="1:15" s="3" customFormat="1" ht="18.75">
      <c r="A23" s="4"/>
      <c r="B23" s="455"/>
      <c r="C23" s="62"/>
      <c r="D23" s="62"/>
      <c r="E23" s="454"/>
      <c r="F23" s="205"/>
      <c r="G23" s="456"/>
      <c r="H23" s="454"/>
      <c r="I23" s="454"/>
      <c r="J23" s="182"/>
      <c r="K23" s="60"/>
      <c r="L23" s="60"/>
      <c r="M23" s="60"/>
      <c r="N23" s="60"/>
      <c r="O23" s="233"/>
    </row>
    <row r="24" spans="1:15" s="3" customFormat="1" ht="18.75">
      <c r="A24" s="4"/>
      <c r="B24" s="730" t="s">
        <v>119</v>
      </c>
      <c r="C24" s="730"/>
      <c r="D24" s="318"/>
      <c r="E24" s="319"/>
      <c r="F24" s="319"/>
      <c r="G24" s="319"/>
      <c r="H24" s="320"/>
      <c r="I24" s="321" t="s">
        <v>295</v>
      </c>
      <c r="J24" s="182"/>
      <c r="K24" s="60"/>
      <c r="L24" s="60"/>
      <c r="M24" s="60"/>
      <c r="N24" s="60"/>
      <c r="O24" s="233"/>
    </row>
    <row r="25" spans="1:15" s="3" customFormat="1" ht="19.5" customHeight="1">
      <c r="A25" s="116"/>
      <c r="B25" s="731"/>
      <c r="C25" s="731"/>
      <c r="D25" s="731"/>
      <c r="E25" s="731"/>
      <c r="F25" s="731"/>
      <c r="G25" s="731"/>
      <c r="H25" s="731"/>
      <c r="I25" s="731"/>
      <c r="J25" s="5"/>
      <c r="K25" s="51"/>
      <c r="L25" s="51"/>
      <c r="M25" s="51"/>
      <c r="N25" s="51"/>
      <c r="O25" s="233"/>
    </row>
    <row r="26" spans="1:15" s="3" customFormat="1" ht="19.5" customHeight="1">
      <c r="A26" s="116"/>
      <c r="B26" s="457"/>
      <c r="C26" s="457"/>
      <c r="D26" s="457"/>
      <c r="E26" s="457"/>
      <c r="F26" s="457"/>
      <c r="G26" s="457"/>
      <c r="H26" s="457"/>
      <c r="I26" s="457"/>
      <c r="J26" s="5"/>
      <c r="K26" s="51"/>
      <c r="L26" s="51"/>
      <c r="M26" s="51"/>
      <c r="N26" s="51"/>
      <c r="O26" s="233"/>
    </row>
    <row r="27" spans="1:15" s="3" customFormat="1" ht="18.75">
      <c r="A27" s="91"/>
      <c r="B27" s="722"/>
      <c r="C27" s="512"/>
      <c r="D27" s="62"/>
      <c r="E27" s="383"/>
      <c r="F27" s="383"/>
      <c r="G27" s="220"/>
      <c r="H27" s="383"/>
      <c r="I27" s="220"/>
      <c r="J27" s="59"/>
      <c r="K27" s="60"/>
      <c r="L27" s="60"/>
      <c r="M27" s="60"/>
      <c r="N27" s="60"/>
      <c r="O27" s="233"/>
    </row>
    <row r="28" spans="1:15" s="3" customFormat="1" ht="18.75">
      <c r="A28" s="91"/>
      <c r="B28" s="722"/>
      <c r="C28" s="512"/>
      <c r="D28" s="62"/>
      <c r="E28" s="205"/>
      <c r="F28" s="205"/>
      <c r="G28" s="220"/>
      <c r="H28" s="205"/>
      <c r="I28" s="220"/>
      <c r="J28" s="66"/>
      <c r="K28" s="60"/>
      <c r="L28" s="60"/>
      <c r="M28" s="60"/>
      <c r="N28" s="60"/>
      <c r="O28" s="233"/>
    </row>
    <row r="29" spans="1:15" s="3" customFormat="1" ht="18.75">
      <c r="A29" s="4"/>
      <c r="B29" s="722"/>
      <c r="C29" s="512"/>
      <c r="D29" s="62"/>
      <c r="E29" s="205"/>
      <c r="F29" s="383"/>
      <c r="G29" s="220"/>
      <c r="H29" s="383"/>
      <c r="I29" s="220"/>
      <c r="J29" s="66"/>
      <c r="K29" s="60"/>
      <c r="L29" s="60"/>
      <c r="M29" s="60"/>
      <c r="N29" s="60"/>
      <c r="O29" s="233"/>
    </row>
    <row r="30" spans="1:15" s="3" customFormat="1" ht="18.75">
      <c r="A30" s="91"/>
      <c r="B30" s="722"/>
      <c r="C30" s="512"/>
      <c r="D30" s="62"/>
      <c r="E30" s="383"/>
      <c r="F30" s="383"/>
      <c r="G30" s="220"/>
      <c r="H30" s="383"/>
      <c r="I30" s="220"/>
      <c r="J30" s="59"/>
      <c r="K30" s="60"/>
      <c r="L30" s="60"/>
      <c r="M30" s="60"/>
      <c r="N30" s="60"/>
      <c r="O30" s="233"/>
    </row>
    <row r="31" spans="1:15" s="3" customFormat="1" ht="18.75">
      <c r="A31" s="4"/>
      <c r="B31" s="722"/>
      <c r="C31" s="512"/>
      <c r="D31" s="62"/>
      <c r="E31" s="205"/>
      <c r="F31" s="205"/>
      <c r="G31" s="220"/>
      <c r="H31" s="205"/>
      <c r="I31" s="220"/>
      <c r="J31" s="66"/>
      <c r="K31" s="60"/>
      <c r="L31" s="60"/>
      <c r="M31" s="60"/>
      <c r="N31" s="60"/>
      <c r="O31" s="233"/>
    </row>
    <row r="32" spans="1:15" s="3" customFormat="1" ht="15.75" customHeight="1">
      <c r="A32" s="162"/>
      <c r="B32" s="722"/>
      <c r="C32" s="512"/>
      <c r="D32" s="62"/>
      <c r="E32" s="205"/>
      <c r="F32" s="383"/>
      <c r="G32" s="220"/>
      <c r="H32" s="383"/>
      <c r="I32" s="220"/>
      <c r="J32" s="66"/>
      <c r="K32" s="60"/>
      <c r="L32" s="60"/>
      <c r="M32" s="60"/>
      <c r="N32" s="60"/>
      <c r="O32" s="233"/>
    </row>
    <row r="33" spans="1:15" s="3" customFormat="1" ht="16.5" customHeight="1">
      <c r="A33" s="42"/>
      <c r="B33" s="722"/>
      <c r="C33" s="512"/>
      <c r="D33" s="62"/>
      <c r="E33" s="383"/>
      <c r="F33" s="383"/>
      <c r="G33" s="220"/>
      <c r="H33" s="383"/>
      <c r="I33" s="220"/>
      <c r="J33" s="59"/>
      <c r="K33" s="60"/>
      <c r="L33" s="60"/>
      <c r="M33" s="60"/>
      <c r="N33" s="60"/>
      <c r="O33" s="233"/>
    </row>
    <row r="34" spans="1:15" s="3" customFormat="1" ht="15.75" customHeight="1">
      <c r="A34" s="4"/>
      <c r="B34" s="722"/>
      <c r="C34" s="512"/>
      <c r="D34" s="62"/>
      <c r="E34" s="205"/>
      <c r="F34" s="205"/>
      <c r="G34" s="220"/>
      <c r="H34" s="205"/>
      <c r="I34" s="220"/>
      <c r="J34" s="66"/>
      <c r="K34" s="60"/>
      <c r="L34" s="60"/>
      <c r="M34" s="60"/>
      <c r="N34" s="60"/>
      <c r="O34" s="233"/>
    </row>
    <row r="35" spans="1:15" s="3" customFormat="1" ht="15.75" customHeight="1">
      <c r="A35" s="4"/>
      <c r="B35" s="722"/>
      <c r="C35" s="512"/>
      <c r="D35" s="62"/>
      <c r="E35" s="454"/>
      <c r="F35" s="454"/>
      <c r="G35" s="220"/>
      <c r="H35" s="454"/>
      <c r="I35" s="220"/>
      <c r="J35" s="182"/>
      <c r="K35" s="60"/>
      <c r="L35" s="60"/>
      <c r="M35" s="60"/>
      <c r="N35" s="60"/>
      <c r="O35" s="233"/>
    </row>
    <row r="36" spans="1:15" s="3" customFormat="1" ht="18" customHeight="1">
      <c r="A36" s="4"/>
      <c r="B36" s="725"/>
      <c r="C36" s="725"/>
      <c r="D36" s="725"/>
      <c r="E36" s="725"/>
      <c r="F36" s="725"/>
      <c r="G36" s="725"/>
      <c r="H36" s="725"/>
      <c r="I36" s="725"/>
      <c r="J36" s="5"/>
      <c r="K36" s="51"/>
      <c r="L36" s="51"/>
      <c r="M36" s="51"/>
      <c r="N36" s="51"/>
      <c r="O36" s="233"/>
    </row>
    <row r="37" spans="1:15" s="3" customFormat="1" ht="18" customHeight="1">
      <c r="A37" s="4"/>
      <c r="B37" s="458"/>
      <c r="C37" s="458"/>
      <c r="D37" s="458"/>
      <c r="E37" s="458"/>
      <c r="F37" s="458"/>
      <c r="G37" s="458"/>
      <c r="H37" s="458"/>
      <c r="I37" s="458"/>
      <c r="J37" s="5"/>
      <c r="K37" s="51"/>
      <c r="L37" s="51"/>
      <c r="M37" s="51"/>
      <c r="N37" s="51"/>
      <c r="O37" s="233"/>
    </row>
    <row r="38" spans="1:15" s="3" customFormat="1" ht="15" customHeight="1">
      <c r="A38" s="4"/>
      <c r="B38" s="722"/>
      <c r="C38" s="512"/>
      <c r="D38" s="62"/>
      <c r="E38" s="383"/>
      <c r="F38" s="383"/>
      <c r="G38" s="220"/>
      <c r="H38" s="383"/>
      <c r="I38" s="220"/>
      <c r="J38" s="59"/>
      <c r="K38" s="60"/>
      <c r="L38" s="60"/>
      <c r="M38" s="60"/>
      <c r="N38" s="60"/>
      <c r="O38" s="292"/>
    </row>
    <row r="39" spans="1:15" s="3" customFormat="1" ht="15" customHeight="1">
      <c r="A39" s="4"/>
      <c r="B39" s="722"/>
      <c r="C39" s="512"/>
      <c r="D39" s="62"/>
      <c r="E39" s="205"/>
      <c r="F39" s="205"/>
      <c r="G39" s="220"/>
      <c r="H39" s="205"/>
      <c r="I39" s="220"/>
      <c r="J39" s="66"/>
      <c r="K39" s="60"/>
      <c r="L39" s="60"/>
      <c r="M39" s="60"/>
      <c r="N39" s="60"/>
      <c r="O39" s="292"/>
    </row>
    <row r="40" spans="1:16" s="3" customFormat="1" ht="15.75" customHeight="1">
      <c r="A40" s="4"/>
      <c r="B40" s="722"/>
      <c r="C40" s="512"/>
      <c r="D40" s="62"/>
      <c r="E40" s="205"/>
      <c r="F40" s="383"/>
      <c r="G40" s="220"/>
      <c r="H40" s="383"/>
      <c r="I40" s="220"/>
      <c r="J40" s="66"/>
      <c r="K40" s="60"/>
      <c r="L40" s="60"/>
      <c r="M40" s="60"/>
      <c r="N40" s="60"/>
      <c r="O40" s="292"/>
      <c r="P40" s="292"/>
    </row>
    <row r="41" spans="2:15" ht="18.75">
      <c r="B41" s="722"/>
      <c r="C41" s="512"/>
      <c r="D41" s="62"/>
      <c r="E41" s="383"/>
      <c r="F41" s="383"/>
      <c r="G41" s="220"/>
      <c r="H41" s="383"/>
      <c r="I41" s="220"/>
      <c r="J41" s="59"/>
      <c r="K41" s="60"/>
      <c r="L41" s="60"/>
      <c r="M41" s="60"/>
      <c r="N41" s="60"/>
      <c r="O41" s="293"/>
    </row>
    <row r="42" spans="2:15" ht="18.75">
      <c r="B42" s="722"/>
      <c r="C42" s="512"/>
      <c r="D42" s="62"/>
      <c r="E42" s="205"/>
      <c r="F42" s="205"/>
      <c r="G42" s="220"/>
      <c r="H42" s="205"/>
      <c r="I42" s="220"/>
      <c r="J42" s="66"/>
      <c r="K42" s="60"/>
      <c r="L42" s="60"/>
      <c r="M42" s="60"/>
      <c r="N42" s="60"/>
      <c r="O42" s="293"/>
    </row>
    <row r="43" spans="2:15" ht="18.75">
      <c r="B43" s="722"/>
      <c r="C43" s="512"/>
      <c r="D43" s="62"/>
      <c r="E43" s="205"/>
      <c r="F43" s="383"/>
      <c r="G43" s="220"/>
      <c r="H43" s="383"/>
      <c r="I43" s="220"/>
      <c r="J43" s="66"/>
      <c r="K43" s="60"/>
      <c r="L43" s="60"/>
      <c r="M43" s="60"/>
      <c r="N43" s="60"/>
      <c r="O43" s="293"/>
    </row>
    <row r="44" spans="2:15" ht="18.75">
      <c r="B44" s="722"/>
      <c r="C44" s="512"/>
      <c r="D44" s="62"/>
      <c r="E44" s="383"/>
      <c r="F44" s="383"/>
      <c r="G44" s="220"/>
      <c r="H44" s="383"/>
      <c r="I44" s="220"/>
      <c r="J44" s="59"/>
      <c r="K44" s="60"/>
      <c r="L44" s="60"/>
      <c r="M44" s="60"/>
      <c r="N44" s="60"/>
      <c r="O44" s="293"/>
    </row>
    <row r="45" spans="2:15" ht="18.75">
      <c r="B45" s="722"/>
      <c r="C45" s="512"/>
      <c r="D45" s="62"/>
      <c r="E45" s="205"/>
      <c r="F45" s="205"/>
      <c r="G45" s="220"/>
      <c r="H45" s="205"/>
      <c r="I45" s="220"/>
      <c r="J45" s="66"/>
      <c r="K45" s="60"/>
      <c r="L45" s="60"/>
      <c r="M45" s="60"/>
      <c r="N45" s="60"/>
      <c r="O45" s="293"/>
    </row>
    <row r="46" spans="2:15" ht="18.75">
      <c r="B46" s="722"/>
      <c r="C46" s="512"/>
      <c r="D46" s="62"/>
      <c r="E46" s="205"/>
      <c r="F46" s="383"/>
      <c r="G46" s="220"/>
      <c r="H46" s="383"/>
      <c r="I46" s="220"/>
      <c r="J46" s="66"/>
      <c r="K46" s="60"/>
      <c r="L46" s="60"/>
      <c r="M46" s="60"/>
      <c r="N46" s="60"/>
      <c r="O46" s="293"/>
    </row>
    <row r="47" spans="2:16" ht="18.75">
      <c r="B47" s="722"/>
      <c r="C47" s="512"/>
      <c r="D47" s="62"/>
      <c r="E47" s="383"/>
      <c r="F47" s="383"/>
      <c r="G47" s="220"/>
      <c r="H47" s="383"/>
      <c r="I47" s="220"/>
      <c r="J47" s="59"/>
      <c r="K47" s="60"/>
      <c r="L47" s="60"/>
      <c r="M47" s="60"/>
      <c r="N47" s="60"/>
      <c r="O47" s="293"/>
      <c r="P47" s="293"/>
    </row>
    <row r="48" spans="2:15" ht="18.75">
      <c r="B48" s="722"/>
      <c r="C48" s="512"/>
      <c r="D48" s="62"/>
      <c r="E48" s="205"/>
      <c r="F48" s="205"/>
      <c r="G48" s="220"/>
      <c r="H48" s="205"/>
      <c r="I48" s="220"/>
      <c r="J48" s="66"/>
      <c r="K48" s="60"/>
      <c r="L48" s="60"/>
      <c r="M48" s="60"/>
      <c r="N48" s="60"/>
      <c r="O48" s="293"/>
    </row>
    <row r="49" spans="2:16" ht="18.75">
      <c r="B49" s="722"/>
      <c r="C49" s="512"/>
      <c r="D49" s="62"/>
      <c r="E49" s="454"/>
      <c r="F49" s="454"/>
      <c r="G49" s="220"/>
      <c r="H49" s="454"/>
      <c r="I49" s="220"/>
      <c r="J49" s="182"/>
      <c r="K49" s="60"/>
      <c r="L49" s="60"/>
      <c r="M49" s="60"/>
      <c r="N49" s="60"/>
      <c r="O49" s="293"/>
      <c r="P49" s="293"/>
    </row>
    <row r="50" spans="2:15" ht="18.75">
      <c r="B50" s="455"/>
      <c r="C50" s="62"/>
      <c r="D50" s="62"/>
      <c r="E50" s="454"/>
      <c r="F50" s="205"/>
      <c r="G50" s="456"/>
      <c r="H50" s="454"/>
      <c r="I50" s="454"/>
      <c r="J50" s="182"/>
      <c r="K50" s="60"/>
      <c r="L50" s="60"/>
      <c r="M50" s="60"/>
      <c r="N50" s="60"/>
      <c r="O50" s="293"/>
    </row>
    <row r="51" spans="2:15" ht="18.75">
      <c r="B51" s="723"/>
      <c r="C51" s="723"/>
      <c r="D51" s="723"/>
      <c r="E51" s="723"/>
      <c r="F51" s="723"/>
      <c r="G51" s="723"/>
      <c r="H51" s="297"/>
      <c r="I51" s="724"/>
      <c r="J51" s="297"/>
      <c r="K51" s="297"/>
      <c r="L51" s="297"/>
      <c r="M51" s="297"/>
      <c r="N51" s="297"/>
      <c r="O51" s="297"/>
    </row>
    <row r="52" spans="2:15" ht="18.75">
      <c r="B52" s="130"/>
      <c r="C52" s="130"/>
      <c r="D52" s="130"/>
      <c r="E52" s="130"/>
      <c r="F52" s="130"/>
      <c r="G52" s="130"/>
      <c r="H52" s="299"/>
      <c r="I52" s="724"/>
      <c r="J52" s="297"/>
      <c r="K52" s="297"/>
      <c r="L52" s="60"/>
      <c r="M52" s="60"/>
      <c r="N52" s="297"/>
      <c r="O52" s="297"/>
    </row>
    <row r="53" spans="2:15" ht="18.75">
      <c r="B53" s="304"/>
      <c r="C53" s="304"/>
      <c r="D53" s="459"/>
      <c r="E53" s="304"/>
      <c r="F53" s="304"/>
      <c r="G53" s="304"/>
      <c r="H53" s="299"/>
      <c r="I53" s="460"/>
      <c r="J53" s="297"/>
      <c r="K53" s="297"/>
      <c r="L53" s="60"/>
      <c r="M53" s="297"/>
      <c r="N53" s="297"/>
      <c r="O53" s="297"/>
    </row>
    <row r="54" spans="2:15" ht="18.75">
      <c r="B54" s="304"/>
      <c r="C54" s="304"/>
      <c r="D54" s="459"/>
      <c r="E54" s="304"/>
      <c r="F54" s="304"/>
      <c r="G54" s="304"/>
      <c r="H54" s="299"/>
      <c r="I54" s="460"/>
      <c r="J54" s="297"/>
      <c r="K54" s="297"/>
      <c r="L54" s="60"/>
      <c r="M54" s="297"/>
      <c r="N54" s="297"/>
      <c r="O54" s="297"/>
    </row>
    <row r="55" spans="2:15" ht="18.75">
      <c r="B55" s="304"/>
      <c r="C55" s="459"/>
      <c r="D55" s="304"/>
      <c r="E55" s="304"/>
      <c r="F55" s="304"/>
      <c r="G55" s="304"/>
      <c r="H55" s="299"/>
      <c r="I55" s="460"/>
      <c r="J55" s="297"/>
      <c r="K55" s="297"/>
      <c r="L55" s="60"/>
      <c r="M55" s="297"/>
      <c r="N55" s="297"/>
      <c r="O55" s="297"/>
    </row>
    <row r="56" spans="2:15" ht="23.25" customHeight="1">
      <c r="B56" s="297"/>
      <c r="C56" s="297"/>
      <c r="D56" s="297"/>
      <c r="E56" s="297"/>
      <c r="F56" s="297"/>
      <c r="G56" s="297"/>
      <c r="H56" s="297"/>
      <c r="I56" s="461"/>
      <c r="J56" s="297"/>
      <c r="K56" s="297"/>
      <c r="L56" s="297"/>
      <c r="M56" s="297"/>
      <c r="N56" s="297"/>
      <c r="O56" s="297"/>
    </row>
    <row r="57" spans="2:9" ht="23.25">
      <c r="B57" s="725"/>
      <c r="C57" s="725"/>
      <c r="D57" s="725"/>
      <c r="E57" s="725"/>
      <c r="F57" s="725"/>
      <c r="G57" s="725"/>
      <c r="H57" s="725"/>
      <c r="I57" s="725"/>
    </row>
    <row r="58" spans="2:9" ht="19.5">
      <c r="B58" s="726"/>
      <c r="C58" s="726"/>
      <c r="D58" s="726"/>
      <c r="E58" s="726"/>
      <c r="F58" s="726"/>
      <c r="G58" s="726"/>
      <c r="H58" s="726"/>
      <c r="I58" s="726"/>
    </row>
    <row r="59" spans="2:9" ht="19.5">
      <c r="B59" s="727"/>
      <c r="C59" s="727"/>
      <c r="D59" s="727"/>
      <c r="E59" s="726"/>
      <c r="F59" s="726"/>
      <c r="G59" s="726"/>
      <c r="H59" s="726"/>
      <c r="I59" s="726"/>
    </row>
    <row r="60" spans="2:9" ht="20.25" customHeight="1">
      <c r="B60" s="727"/>
      <c r="C60" s="727"/>
      <c r="D60" s="727"/>
      <c r="E60" s="441"/>
      <c r="F60" s="696"/>
      <c r="G60" s="728"/>
      <c r="H60" s="728"/>
      <c r="I60" s="728"/>
    </row>
    <row r="61" spans="2:9" ht="19.5" hidden="1">
      <c r="B61" s="727"/>
      <c r="C61" s="727"/>
      <c r="D61" s="727"/>
      <c r="E61" s="200"/>
      <c r="F61" s="728"/>
      <c r="G61" s="728"/>
      <c r="H61" s="728"/>
      <c r="I61" s="728"/>
    </row>
    <row r="62" spans="2:9" ht="15" hidden="1">
      <c r="B62" s="727"/>
      <c r="C62" s="727"/>
      <c r="D62" s="727"/>
      <c r="E62" s="729"/>
      <c r="F62" s="729"/>
      <c r="G62" s="729"/>
      <c r="H62" s="729"/>
      <c r="I62" s="729"/>
    </row>
    <row r="63" spans="2:9" ht="18.75">
      <c r="B63" s="722"/>
      <c r="C63" s="512"/>
      <c r="D63" s="62"/>
      <c r="E63" s="383"/>
      <c r="F63" s="383"/>
      <c r="G63" s="721"/>
      <c r="H63" s="721"/>
      <c r="I63" s="721"/>
    </row>
    <row r="64" spans="2:9" ht="18.75">
      <c r="B64" s="722"/>
      <c r="C64" s="512"/>
      <c r="D64" s="62"/>
      <c r="E64" s="205"/>
      <c r="F64" s="205"/>
      <c r="G64" s="721"/>
      <c r="H64" s="721"/>
      <c r="I64" s="721"/>
    </row>
    <row r="65" spans="2:9" ht="18.75">
      <c r="B65" s="722"/>
      <c r="C65" s="512"/>
      <c r="D65" s="62"/>
      <c r="E65" s="205"/>
      <c r="F65" s="383"/>
      <c r="G65" s="721"/>
      <c r="H65" s="721"/>
      <c r="I65" s="721"/>
    </row>
    <row r="66" spans="2:9" ht="18.75">
      <c r="B66" s="722"/>
      <c r="C66" s="512"/>
      <c r="D66" s="62"/>
      <c r="E66" s="383"/>
      <c r="F66" s="383"/>
      <c r="G66" s="721"/>
      <c r="H66" s="721"/>
      <c r="I66" s="721"/>
    </row>
    <row r="67" spans="2:9" ht="18.75">
      <c r="B67" s="722"/>
      <c r="C67" s="512"/>
      <c r="D67" s="62"/>
      <c r="E67" s="205"/>
      <c r="F67" s="205"/>
      <c r="G67" s="721"/>
      <c r="H67" s="721"/>
      <c r="I67" s="721"/>
    </row>
    <row r="68" spans="2:9" ht="18.75">
      <c r="B68" s="722"/>
      <c r="C68" s="512"/>
      <c r="D68" s="62"/>
      <c r="E68" s="205"/>
      <c r="F68" s="383"/>
      <c r="G68" s="721"/>
      <c r="H68" s="721"/>
      <c r="I68" s="721"/>
    </row>
    <row r="69" spans="2:9" ht="18.75">
      <c r="B69" s="722"/>
      <c r="C69" s="512"/>
      <c r="D69" s="62"/>
      <c r="E69" s="383"/>
      <c r="F69" s="383"/>
      <c r="G69" s="721"/>
      <c r="H69" s="721"/>
      <c r="I69" s="721"/>
    </row>
    <row r="70" spans="2:9" ht="18.75">
      <c r="B70" s="722"/>
      <c r="C70" s="512"/>
      <c r="D70" s="62"/>
      <c r="E70" s="205"/>
      <c r="F70" s="205"/>
      <c r="G70" s="721"/>
      <c r="H70" s="721"/>
      <c r="I70" s="721"/>
    </row>
    <row r="71" spans="2:9" ht="18.75">
      <c r="B71" s="722"/>
      <c r="C71" s="512"/>
      <c r="D71" s="62"/>
      <c r="E71" s="205"/>
      <c r="F71" s="383"/>
      <c r="G71" s="721"/>
      <c r="H71" s="721"/>
      <c r="I71" s="721"/>
    </row>
    <row r="72" spans="2:9" ht="18.75">
      <c r="B72" s="722"/>
      <c r="C72" s="512"/>
      <c r="D72" s="62"/>
      <c r="E72" s="383"/>
      <c r="F72" s="383"/>
      <c r="G72" s="721"/>
      <c r="H72" s="721"/>
      <c r="I72" s="721"/>
    </row>
    <row r="73" spans="2:9" ht="18.75">
      <c r="B73" s="722"/>
      <c r="C73" s="512"/>
      <c r="D73" s="62"/>
      <c r="E73" s="205"/>
      <c r="F73" s="205"/>
      <c r="G73" s="721"/>
      <c r="H73" s="721"/>
      <c r="I73" s="721"/>
    </row>
    <row r="74" spans="2:9" ht="18.75">
      <c r="B74" s="722"/>
      <c r="C74" s="512"/>
      <c r="D74" s="62"/>
      <c r="E74" s="454"/>
      <c r="F74" s="454"/>
      <c r="G74" s="721"/>
      <c r="H74" s="721"/>
      <c r="I74" s="721"/>
    </row>
  </sheetData>
  <sheetProtection/>
  <mergeCells count="60">
    <mergeCell ref="B6:I6"/>
    <mergeCell ref="B7:I7"/>
    <mergeCell ref="B8:I8"/>
    <mergeCell ref="B9:I9"/>
    <mergeCell ref="L9:M9"/>
    <mergeCell ref="B10:B11"/>
    <mergeCell ref="C10:C11"/>
    <mergeCell ref="D10:D11"/>
    <mergeCell ref="E10:I10"/>
    <mergeCell ref="K10:N10"/>
    <mergeCell ref="G11:I11"/>
    <mergeCell ref="B12:B16"/>
    <mergeCell ref="C12:C13"/>
    <mergeCell ref="G12:I12"/>
    <mergeCell ref="G13:I13"/>
    <mergeCell ref="C14:C16"/>
    <mergeCell ref="G14:I14"/>
    <mergeCell ref="G15:I15"/>
    <mergeCell ref="G16:I16"/>
    <mergeCell ref="C17:C19"/>
    <mergeCell ref="C20:C22"/>
    <mergeCell ref="B24:C24"/>
    <mergeCell ref="B25:I25"/>
    <mergeCell ref="B27:B35"/>
    <mergeCell ref="C27:C29"/>
    <mergeCell ref="C30:C32"/>
    <mergeCell ref="C33:C35"/>
    <mergeCell ref="B36:I36"/>
    <mergeCell ref="B38:B49"/>
    <mergeCell ref="C38:C40"/>
    <mergeCell ref="C41:C43"/>
    <mergeCell ref="C44:C46"/>
    <mergeCell ref="C47:C49"/>
    <mergeCell ref="B51:G51"/>
    <mergeCell ref="I51:I52"/>
    <mergeCell ref="B57:I57"/>
    <mergeCell ref="B58:I58"/>
    <mergeCell ref="B59:B62"/>
    <mergeCell ref="C59:C62"/>
    <mergeCell ref="D59:D62"/>
    <mergeCell ref="E59:I59"/>
    <mergeCell ref="F60:I61"/>
    <mergeCell ref="E62:I62"/>
    <mergeCell ref="B63:B74"/>
    <mergeCell ref="C63:C65"/>
    <mergeCell ref="G63:I63"/>
    <mergeCell ref="G64:I64"/>
    <mergeCell ref="G65:I65"/>
    <mergeCell ref="C66:C68"/>
    <mergeCell ref="G66:I66"/>
    <mergeCell ref="G67:I67"/>
    <mergeCell ref="G68:I68"/>
    <mergeCell ref="C69:C71"/>
    <mergeCell ref="G69:I69"/>
    <mergeCell ref="G70:I70"/>
    <mergeCell ref="G71:I71"/>
    <mergeCell ref="C72:C74"/>
    <mergeCell ref="G72:I72"/>
    <mergeCell ref="G73:I73"/>
    <mergeCell ref="G74:I74"/>
  </mergeCells>
  <printOptions/>
  <pageMargins left="0.75" right="0.75" top="1" bottom="1" header="0.5" footer="0.5"/>
  <pageSetup horizontalDpi="600" verticalDpi="600" orientation="portrait" paperSize="9" scale="86" r:id="rId1"/>
  <rowBreaks count="1" manualBreakCount="1">
    <brk id="35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33.00390625" style="0" customWidth="1"/>
    <col min="2" max="2" width="36.625" style="0" customWidth="1"/>
  </cols>
  <sheetData>
    <row r="2" spans="1:7" ht="15.75">
      <c r="A2" s="785" t="s">
        <v>334</v>
      </c>
      <c r="B2" s="785"/>
      <c r="C2" s="14"/>
      <c r="D2" s="14"/>
      <c r="E2" s="14"/>
      <c r="F2" s="14"/>
      <c r="G2" s="14"/>
    </row>
    <row r="3" spans="1:7" ht="15.75">
      <c r="A3" s="785" t="s">
        <v>80</v>
      </c>
      <c r="B3" s="785"/>
      <c r="C3" s="14"/>
      <c r="D3" s="14"/>
      <c r="E3" s="14"/>
      <c r="F3" s="14"/>
      <c r="G3" s="14"/>
    </row>
    <row r="4" spans="1:7" ht="15.75">
      <c r="A4" s="785" t="s">
        <v>335</v>
      </c>
      <c r="B4" s="785"/>
      <c r="C4" s="14"/>
      <c r="D4" s="14"/>
      <c r="E4" s="14"/>
      <c r="F4" s="14"/>
      <c r="G4" s="14"/>
    </row>
    <row r="5" spans="1:7" ht="13.5" thickBot="1">
      <c r="A5" s="9"/>
      <c r="B5" s="2"/>
      <c r="C5" s="2"/>
      <c r="D5" s="2"/>
      <c r="E5" s="2"/>
      <c r="F5" s="2"/>
      <c r="G5" s="2"/>
    </row>
    <row r="6" spans="1:7" ht="32.25" thickBot="1">
      <c r="A6" s="480" t="s">
        <v>336</v>
      </c>
      <c r="B6" s="481" t="s">
        <v>340</v>
      </c>
      <c r="C6" s="2"/>
      <c r="D6" s="2"/>
      <c r="E6" s="2"/>
      <c r="F6" s="2"/>
      <c r="G6" s="2"/>
    </row>
    <row r="7" spans="1:7" ht="16.5" thickBot="1">
      <c r="A7" s="482" t="s">
        <v>337</v>
      </c>
      <c r="B7" s="483">
        <v>0.11</v>
      </c>
      <c r="C7" s="2"/>
      <c r="D7" s="2"/>
      <c r="E7" s="2"/>
      <c r="F7" s="2"/>
      <c r="G7" s="2"/>
    </row>
    <row r="8" spans="1:7" ht="16.5" thickBot="1">
      <c r="A8" s="482" t="s">
        <v>339</v>
      </c>
      <c r="B8" s="483">
        <v>0.11</v>
      </c>
      <c r="C8" s="2"/>
      <c r="D8" s="2"/>
      <c r="E8" s="2"/>
      <c r="F8" s="2"/>
      <c r="G8" s="2"/>
    </row>
    <row r="9" spans="1:7" ht="16.5" thickBot="1">
      <c r="A9" s="482" t="s">
        <v>338</v>
      </c>
      <c r="B9" s="483">
        <v>0.13</v>
      </c>
      <c r="C9" s="2"/>
      <c r="D9" s="2"/>
      <c r="E9" s="2"/>
      <c r="F9" s="2"/>
      <c r="G9" s="2"/>
    </row>
    <row r="10" ht="18.75">
      <c r="A10" s="8"/>
    </row>
    <row r="11" spans="1:2" ht="15.75">
      <c r="A11" s="15"/>
      <c r="B11" s="15"/>
    </row>
  </sheetData>
  <sheetProtection/>
  <mergeCells count="3"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33.00390625" style="0" customWidth="1"/>
    <col min="2" max="2" width="36.625" style="0" customWidth="1"/>
  </cols>
  <sheetData>
    <row r="2" spans="1:7" ht="15.75">
      <c r="A2" s="785" t="s">
        <v>334</v>
      </c>
      <c r="B2" s="785"/>
      <c r="C2" s="14"/>
      <c r="D2" s="14"/>
      <c r="E2" s="14"/>
      <c r="F2" s="14"/>
      <c r="G2" s="14"/>
    </row>
    <row r="3" spans="1:7" ht="15.75">
      <c r="A3" s="785" t="s">
        <v>80</v>
      </c>
      <c r="B3" s="785"/>
      <c r="C3" s="14"/>
      <c r="D3" s="14"/>
      <c r="E3" s="14"/>
      <c r="F3" s="14"/>
      <c r="G3" s="14"/>
    </row>
    <row r="4" spans="1:7" ht="15.75">
      <c r="A4" s="785" t="s">
        <v>341</v>
      </c>
      <c r="B4" s="785"/>
      <c r="C4" s="14"/>
      <c r="D4" s="14"/>
      <c r="E4" s="14"/>
      <c r="F4" s="14"/>
      <c r="G4" s="14"/>
    </row>
    <row r="5" spans="1:7" ht="15.75">
      <c r="A5" s="786" t="s">
        <v>342</v>
      </c>
      <c r="B5" s="786"/>
      <c r="C5" s="2"/>
      <c r="D5" s="2"/>
      <c r="E5" s="2"/>
      <c r="F5" s="2"/>
      <c r="G5" s="2"/>
    </row>
    <row r="6" spans="1:7" ht="15.75">
      <c r="A6" s="786" t="s">
        <v>343</v>
      </c>
      <c r="B6" s="786"/>
      <c r="C6" s="2"/>
      <c r="D6" s="2"/>
      <c r="E6" s="2"/>
      <c r="F6" s="2"/>
      <c r="G6" s="2"/>
    </row>
    <row r="7" spans="1:7" ht="16.5" thickBot="1">
      <c r="A7" s="787"/>
      <c r="B7" s="787"/>
      <c r="C7" s="2"/>
      <c r="D7" s="2"/>
      <c r="E7" s="2"/>
      <c r="F7" s="2"/>
      <c r="G7" s="2"/>
    </row>
    <row r="8" spans="1:7" ht="32.25" thickBot="1">
      <c r="A8" s="480" t="s">
        <v>183</v>
      </c>
      <c r="B8" s="481" t="s">
        <v>344</v>
      </c>
      <c r="C8" s="2"/>
      <c r="D8" s="2"/>
      <c r="E8" s="2"/>
      <c r="F8" s="2"/>
      <c r="G8" s="2"/>
    </row>
    <row r="9" spans="1:7" ht="16.5" thickBot="1">
      <c r="A9" s="482" t="s">
        <v>345</v>
      </c>
      <c r="B9" s="483">
        <v>5.58</v>
      </c>
      <c r="C9" s="2"/>
      <c r="D9" s="2"/>
      <c r="E9" s="2"/>
      <c r="F9" s="2"/>
      <c r="G9" s="2"/>
    </row>
    <row r="10" spans="1:7" ht="16.5" thickBot="1">
      <c r="A10" s="482" t="s">
        <v>346</v>
      </c>
      <c r="B10" s="483">
        <v>7.17</v>
      </c>
      <c r="C10" s="2"/>
      <c r="D10" s="2"/>
      <c r="E10" s="2"/>
      <c r="F10" s="2"/>
      <c r="G10" s="2"/>
    </row>
    <row r="11" spans="1:7" ht="16.5" thickBot="1">
      <c r="A11" s="482" t="s">
        <v>347</v>
      </c>
      <c r="B11" s="483">
        <v>10.33</v>
      </c>
      <c r="C11" s="2"/>
      <c r="D11" s="2"/>
      <c r="E11" s="2"/>
      <c r="F11" s="2"/>
      <c r="G11" s="2"/>
    </row>
    <row r="12" spans="1:7" ht="16.5" thickBot="1">
      <c r="A12" s="482" t="s">
        <v>348</v>
      </c>
      <c r="B12" s="484">
        <v>13.5</v>
      </c>
      <c r="C12" s="2"/>
      <c r="D12" s="2"/>
      <c r="E12" s="2"/>
      <c r="F12" s="2"/>
      <c r="G12" s="2"/>
    </row>
    <row r="13" spans="1:7" ht="16.5" thickBot="1">
      <c r="A13" s="482" t="s">
        <v>349</v>
      </c>
      <c r="B13" s="484">
        <v>22</v>
      </c>
      <c r="C13" s="2"/>
      <c r="D13" s="2"/>
      <c r="E13" s="2"/>
      <c r="F13" s="2"/>
      <c r="G13" s="2"/>
    </row>
    <row r="14" spans="1:7" ht="16.5" thickBot="1">
      <c r="A14" s="482" t="s">
        <v>350</v>
      </c>
      <c r="B14" s="484">
        <v>39</v>
      </c>
      <c r="C14" s="2"/>
      <c r="D14" s="2"/>
      <c r="E14" s="2"/>
      <c r="F14" s="2"/>
      <c r="G14" s="2"/>
    </row>
    <row r="15" spans="1:7" ht="16.5" thickBot="1">
      <c r="A15" s="482" t="s">
        <v>351</v>
      </c>
      <c r="B15" s="484">
        <v>62</v>
      </c>
      <c r="C15" s="2"/>
      <c r="D15" s="2"/>
      <c r="E15" s="2"/>
      <c r="F15" s="2"/>
      <c r="G15" s="2"/>
    </row>
    <row r="16" ht="18.75">
      <c r="A16" s="8"/>
    </row>
    <row r="17" spans="1:2" ht="15.75">
      <c r="A17" s="15"/>
      <c r="B17" s="15"/>
    </row>
    <row r="18" spans="1:2" ht="30" customHeight="1">
      <c r="A18" s="485" t="s">
        <v>352</v>
      </c>
      <c r="B18" s="487" t="s">
        <v>354</v>
      </c>
    </row>
    <row r="19" spans="1:2" ht="15.75">
      <c r="A19" s="486" t="s">
        <v>353</v>
      </c>
      <c r="B19" s="488">
        <v>0.6</v>
      </c>
    </row>
  </sheetData>
  <sheetProtection/>
  <mergeCells count="6">
    <mergeCell ref="A2:B2"/>
    <mergeCell ref="A3:B3"/>
    <mergeCell ref="A4:B4"/>
    <mergeCell ref="A5:B5"/>
    <mergeCell ref="A6:B6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="90" zoomScaleSheetLayoutView="90" workbookViewId="0" topLeftCell="A1">
      <selection activeCell="A8" sqref="A8:G8"/>
    </sheetView>
  </sheetViews>
  <sheetFormatPr defaultColWidth="9.00390625" defaultRowHeight="12.75"/>
  <cols>
    <col min="1" max="2" width="9.125" style="463" customWidth="1"/>
    <col min="3" max="3" width="9.75390625" style="463" customWidth="1"/>
    <col min="4" max="4" width="10.875" style="463" customWidth="1"/>
    <col min="5" max="7" width="20.00390625" style="463" customWidth="1"/>
    <col min="8" max="16384" width="9.125" style="463" customWidth="1"/>
  </cols>
  <sheetData>
    <row r="1" spans="1:7" ht="15.75">
      <c r="A1" s="462"/>
      <c r="B1" s="462"/>
      <c r="C1" s="462"/>
      <c r="D1" s="462"/>
      <c r="E1" s="462"/>
      <c r="G1" s="464" t="s">
        <v>284</v>
      </c>
    </row>
    <row r="2" spans="1:7" ht="15.75">
      <c r="A2" s="465"/>
      <c r="B2" s="465"/>
      <c r="C2" s="465"/>
      <c r="D2" s="465"/>
      <c r="E2" s="465"/>
      <c r="F2" s="466"/>
      <c r="G2" s="464" t="s">
        <v>89</v>
      </c>
    </row>
    <row r="3" spans="1:7" ht="15.75">
      <c r="A3" s="465"/>
      <c r="B3" s="465"/>
      <c r="C3" s="465"/>
      <c r="D3" s="465"/>
      <c r="E3" s="465"/>
      <c r="F3" s="467"/>
      <c r="G3" s="464" t="s">
        <v>90</v>
      </c>
    </row>
    <row r="4" spans="1:7" ht="15.75">
      <c r="A4" s="465"/>
      <c r="B4" s="465"/>
      <c r="C4" s="465"/>
      <c r="D4" s="465"/>
      <c r="E4" s="465"/>
      <c r="F4" s="467"/>
      <c r="G4" s="464"/>
    </row>
    <row r="5" spans="1:7" ht="15">
      <c r="A5" s="465"/>
      <c r="B5" s="465"/>
      <c r="C5" s="465"/>
      <c r="D5" s="465"/>
      <c r="E5" s="465"/>
      <c r="F5" s="468" t="s">
        <v>355</v>
      </c>
      <c r="G5" s="467"/>
    </row>
    <row r="6" spans="1:7" ht="15">
      <c r="A6" s="465"/>
      <c r="B6" s="465"/>
      <c r="C6" s="465"/>
      <c r="D6" s="465"/>
      <c r="E6" s="465"/>
      <c r="F6" s="467"/>
      <c r="G6" s="467"/>
    </row>
    <row r="7" spans="1:7" ht="15">
      <c r="A7" s="465"/>
      <c r="B7" s="465"/>
      <c r="C7" s="465"/>
      <c r="D7" s="465"/>
      <c r="E7" s="465"/>
      <c r="F7" s="467"/>
      <c r="G7" s="467"/>
    </row>
    <row r="8" spans="1:7" ht="18.75">
      <c r="A8" s="767" t="s">
        <v>356</v>
      </c>
      <c r="B8" s="767"/>
      <c r="C8" s="767"/>
      <c r="D8" s="767"/>
      <c r="E8" s="767"/>
      <c r="F8" s="767"/>
      <c r="G8" s="767"/>
    </row>
    <row r="9" spans="1:7" ht="15.75">
      <c r="A9" s="768" t="s">
        <v>287</v>
      </c>
      <c r="B9" s="768"/>
      <c r="C9" s="768"/>
      <c r="D9" s="768"/>
      <c r="E9" s="768"/>
      <c r="F9" s="768"/>
      <c r="G9" s="768"/>
    </row>
    <row r="10" spans="1:7" ht="15.75">
      <c r="A10" s="769" t="s">
        <v>288</v>
      </c>
      <c r="B10" s="769"/>
      <c r="C10" s="769"/>
      <c r="D10" s="769"/>
      <c r="E10" s="769"/>
      <c r="F10" s="769"/>
      <c r="G10" s="769"/>
    </row>
    <row r="11" spans="1:7" ht="19.5" customHeight="1">
      <c r="A11" s="770" t="s">
        <v>357</v>
      </c>
      <c r="B11" s="770"/>
      <c r="C11" s="770"/>
      <c r="D11" s="770"/>
      <c r="E11" s="770"/>
      <c r="F11" s="770"/>
      <c r="G11" s="770"/>
    </row>
    <row r="12" spans="1:7" ht="15" customHeight="1">
      <c r="A12" s="770" t="s">
        <v>358</v>
      </c>
      <c r="B12" s="770"/>
      <c r="C12" s="770"/>
      <c r="D12" s="770"/>
      <c r="E12" s="770"/>
      <c r="F12" s="770"/>
      <c r="G12" s="770"/>
    </row>
    <row r="13" spans="1:7" ht="15.75">
      <c r="A13" s="749" t="s">
        <v>359</v>
      </c>
      <c r="B13" s="749"/>
      <c r="C13" s="749"/>
      <c r="D13" s="749"/>
      <c r="E13" s="749"/>
      <c r="F13" s="749"/>
      <c r="G13" s="749"/>
    </row>
    <row r="14" spans="1:7" ht="15.75">
      <c r="A14" s="771" t="s">
        <v>360</v>
      </c>
      <c r="B14" s="771"/>
      <c r="C14" s="771"/>
      <c r="D14" s="771"/>
      <c r="E14" s="771"/>
      <c r="F14" s="771"/>
      <c r="G14" s="771"/>
    </row>
    <row r="15" spans="1:7" ht="15.75">
      <c r="A15" s="749"/>
      <c r="B15" s="749"/>
      <c r="C15" s="749"/>
      <c r="D15" s="749"/>
      <c r="E15" s="749"/>
      <c r="F15" s="749"/>
      <c r="G15" s="749"/>
    </row>
    <row r="16" spans="1:7" ht="15">
      <c r="A16" s="465"/>
      <c r="B16" s="465"/>
      <c r="C16" s="465"/>
      <c r="D16" s="465"/>
      <c r="E16" s="465"/>
      <c r="F16" s="465"/>
      <c r="G16" s="465"/>
    </row>
    <row r="17" spans="1:7" ht="15.75">
      <c r="A17" s="750" t="s">
        <v>361</v>
      </c>
      <c r="B17" s="750"/>
      <c r="C17" s="750"/>
      <c r="D17" s="750"/>
      <c r="E17" s="750"/>
      <c r="F17" s="750"/>
      <c r="G17" s="750"/>
    </row>
    <row r="18" spans="1:7" ht="15.75" customHeight="1">
      <c r="A18" s="751" t="s">
        <v>0</v>
      </c>
      <c r="B18" s="752"/>
      <c r="C18" s="752"/>
      <c r="D18" s="753"/>
      <c r="E18" s="757" t="s">
        <v>293</v>
      </c>
      <c r="F18" s="757"/>
      <c r="G18" s="757"/>
    </row>
    <row r="19" spans="1:7" ht="47.25" customHeight="1">
      <c r="A19" s="754"/>
      <c r="B19" s="755"/>
      <c r="C19" s="755"/>
      <c r="D19" s="756"/>
      <c r="E19" s="758" t="s">
        <v>362</v>
      </c>
      <c r="F19" s="759"/>
      <c r="G19" s="760"/>
    </row>
    <row r="20" spans="1:7" ht="15.75">
      <c r="A20" s="761">
        <v>1</v>
      </c>
      <c r="B20" s="762"/>
      <c r="C20" s="762"/>
      <c r="D20" s="763"/>
      <c r="E20" s="764">
        <v>11.75</v>
      </c>
      <c r="F20" s="765"/>
      <c r="G20" s="766"/>
    </row>
    <row r="25" spans="1:7" ht="15.75">
      <c r="A25" s="469" t="s">
        <v>119</v>
      </c>
      <c r="B25" s="469"/>
      <c r="C25" s="469"/>
      <c r="D25" s="469"/>
      <c r="E25" s="469"/>
      <c r="F25" s="469"/>
      <c r="G25" s="470" t="s">
        <v>295</v>
      </c>
    </row>
  </sheetData>
  <sheetProtection/>
  <mergeCells count="14">
    <mergeCell ref="A20:D20"/>
    <mergeCell ref="E20:G20"/>
    <mergeCell ref="A14:G14"/>
    <mergeCell ref="A15:G15"/>
    <mergeCell ref="A17:G17"/>
    <mergeCell ref="A18:D19"/>
    <mergeCell ref="E18:G18"/>
    <mergeCell ref="E19:G19"/>
    <mergeCell ref="A8:G8"/>
    <mergeCell ref="A9:G9"/>
    <mergeCell ref="A10:G10"/>
    <mergeCell ref="A11:G11"/>
    <mergeCell ref="A12:G12"/>
    <mergeCell ref="A13:G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view="pageBreakPreview" zoomScaleSheetLayoutView="100" zoomScalePageLayoutView="0" workbookViewId="0" topLeftCell="B8">
      <selection activeCell="B13" sqref="B13:I13"/>
    </sheetView>
  </sheetViews>
  <sheetFormatPr defaultColWidth="9.00390625" defaultRowHeight="12.75"/>
  <cols>
    <col min="1" max="1" width="9.125" style="0" hidden="1" customWidth="1"/>
    <col min="2" max="2" width="11.875" style="0" customWidth="1"/>
    <col min="3" max="3" width="17.25390625" style="0" customWidth="1"/>
    <col min="4" max="4" width="10.00390625" style="0" customWidth="1"/>
    <col min="5" max="5" width="9.125" style="0" hidden="1" customWidth="1"/>
    <col min="6" max="6" width="12.00390625" style="0" hidden="1" customWidth="1"/>
    <col min="7" max="7" width="28.125" style="0" customWidth="1"/>
    <col min="8" max="8" width="13.25390625" style="0" hidden="1" customWidth="1"/>
    <col min="9" max="9" width="29.125" style="0" customWidth="1"/>
    <col min="10" max="11" width="0" style="0" hidden="1" customWidth="1"/>
    <col min="12" max="12" width="11.625" style="0" hidden="1" customWidth="1"/>
    <col min="13" max="13" width="11.125" style="0" hidden="1" customWidth="1"/>
    <col min="14" max="14" width="11.625" style="0" hidden="1" customWidth="1"/>
    <col min="15" max="15" width="9.125" style="0" hidden="1" customWidth="1"/>
  </cols>
  <sheetData>
    <row r="1" spans="4:11" s="3" customFormat="1" ht="18.75" hidden="1">
      <c r="D1" s="16"/>
      <c r="E1" s="16"/>
      <c r="F1" s="16"/>
      <c r="H1" s="18"/>
      <c r="I1" s="19" t="e">
        <f>#REF!</f>
        <v>#REF!</v>
      </c>
      <c r="J1" s="16"/>
      <c r="K1" s="154"/>
    </row>
    <row r="2" spans="4:15" s="3" customFormat="1" ht="18.75" hidden="1">
      <c r="D2" s="16"/>
      <c r="E2" s="16"/>
      <c r="F2" s="16"/>
      <c r="H2" s="22"/>
      <c r="I2" s="193" t="s">
        <v>89</v>
      </c>
      <c r="J2" s="7"/>
      <c r="K2" s="232"/>
      <c r="L2" s="233"/>
      <c r="M2" s="233"/>
      <c r="N2" s="233"/>
      <c r="O2" s="233"/>
    </row>
    <row r="3" spans="4:15" s="3" customFormat="1" ht="18.75" hidden="1">
      <c r="D3" s="16"/>
      <c r="E3" s="16"/>
      <c r="F3" s="16"/>
      <c r="G3" s="197"/>
      <c r="H3" s="196"/>
      <c r="I3" s="387" t="s">
        <v>151</v>
      </c>
      <c r="J3" s="7"/>
      <c r="K3" s="235"/>
      <c r="L3" s="233"/>
      <c r="M3" s="233"/>
      <c r="N3" s="233"/>
      <c r="O3" s="233"/>
    </row>
    <row r="4" spans="4:15" s="3" customFormat="1" ht="15.75" hidden="1">
      <c r="D4" s="16"/>
      <c r="E4" s="16"/>
      <c r="F4" s="16"/>
      <c r="G4" s="16"/>
      <c r="H4" s="156"/>
      <c r="I4" s="156"/>
      <c r="J4" s="7"/>
      <c r="K4" s="235"/>
      <c r="L4" s="233"/>
      <c r="M4" s="233"/>
      <c r="N4" s="233"/>
      <c r="O4" s="233"/>
    </row>
    <row r="5" spans="4:15" s="3" customFormat="1" ht="15.75" hidden="1">
      <c r="D5" s="16"/>
      <c r="E5" s="16"/>
      <c r="F5" s="16"/>
      <c r="G5" s="16"/>
      <c r="H5" s="156"/>
      <c r="I5" s="156"/>
      <c r="J5" s="7"/>
      <c r="K5" s="235"/>
      <c r="L5" s="233"/>
      <c r="M5" s="233"/>
      <c r="N5" s="233"/>
      <c r="O5" s="233"/>
    </row>
    <row r="6" spans="1:15" s="29" customFormat="1" ht="21" customHeight="1" hidden="1">
      <c r="A6" s="25"/>
      <c r="B6" s="780" t="s">
        <v>363</v>
      </c>
      <c r="C6" s="780"/>
      <c r="D6" s="780"/>
      <c r="E6" s="780"/>
      <c r="F6" s="780"/>
      <c r="G6" s="780"/>
      <c r="H6" s="780"/>
      <c r="I6" s="780"/>
      <c r="J6" s="236"/>
      <c r="K6" s="157"/>
      <c r="L6" s="157"/>
      <c r="M6" s="157"/>
      <c r="N6" s="161"/>
      <c r="O6" s="161"/>
    </row>
    <row r="7" spans="1:15" s="29" customFormat="1" ht="21" customHeight="1" hidden="1">
      <c r="A7" s="158"/>
      <c r="B7" s="788" t="s">
        <v>208</v>
      </c>
      <c r="C7" s="788"/>
      <c r="D7" s="788"/>
      <c r="E7" s="788"/>
      <c r="F7" s="788"/>
      <c r="G7" s="788"/>
      <c r="H7" s="788"/>
      <c r="I7" s="788"/>
      <c r="J7" s="159"/>
      <c r="K7" s="232"/>
      <c r="L7" s="161"/>
      <c r="M7" s="161"/>
      <c r="N7" s="161"/>
      <c r="O7" s="161"/>
    </row>
    <row r="8" spans="1:15" s="29" customFormat="1" ht="21" customHeight="1">
      <c r="A8" s="158"/>
      <c r="B8" s="3"/>
      <c r="C8" s="3"/>
      <c r="D8" s="16"/>
      <c r="E8" s="16"/>
      <c r="F8" s="16"/>
      <c r="G8" s="3"/>
      <c r="H8" s="18"/>
      <c r="I8" s="19" t="str">
        <f>'[3]хв'!$G$1</f>
        <v>УТВЕРЖДАЮ</v>
      </c>
      <c r="J8" s="159"/>
      <c r="K8" s="232"/>
      <c r="L8" s="161"/>
      <c r="M8" s="161"/>
      <c r="N8" s="161"/>
      <c r="O8" s="161"/>
    </row>
    <row r="9" spans="1:15" s="29" customFormat="1" ht="21" customHeight="1">
      <c r="A9" s="158"/>
      <c r="B9" s="3"/>
      <c r="C9" s="3"/>
      <c r="D9" s="16"/>
      <c r="E9" s="16"/>
      <c r="F9" s="16"/>
      <c r="G9" s="3"/>
      <c r="H9" s="22"/>
      <c r="I9" s="19" t="s">
        <v>89</v>
      </c>
      <c r="J9" s="159"/>
      <c r="K9" s="232"/>
      <c r="L9" s="161"/>
      <c r="M9" s="161"/>
      <c r="N9" s="161"/>
      <c r="O9" s="161"/>
    </row>
    <row r="10" spans="1:15" s="29" customFormat="1" ht="21" customHeight="1">
      <c r="A10" s="158"/>
      <c r="B10" s="3"/>
      <c r="C10" s="3"/>
      <c r="D10" s="16"/>
      <c r="E10" s="16"/>
      <c r="F10" s="16"/>
      <c r="G10" s="197"/>
      <c r="H10" s="196"/>
      <c r="I10" s="234" t="s">
        <v>151</v>
      </c>
      <c r="J10" s="159"/>
      <c r="K10" s="232"/>
      <c r="L10" s="161"/>
      <c r="M10" s="161"/>
      <c r="N10" s="161"/>
      <c r="O10" s="161"/>
    </row>
    <row r="11" spans="1:15" s="29" customFormat="1" ht="21" customHeight="1">
      <c r="A11" s="158"/>
      <c r="B11" s="3"/>
      <c r="C11" s="3"/>
      <c r="D11" s="16"/>
      <c r="E11" s="16"/>
      <c r="F11" s="16"/>
      <c r="G11" s="16"/>
      <c r="H11" s="156"/>
      <c r="I11" s="16" t="s">
        <v>364</v>
      </c>
      <c r="J11" s="159"/>
      <c r="K11" s="232"/>
      <c r="L11" s="161"/>
      <c r="M11" s="161"/>
      <c r="N11" s="161"/>
      <c r="O11" s="161"/>
    </row>
    <row r="12" spans="1:15" s="29" customFormat="1" ht="21" customHeight="1">
      <c r="A12" s="158"/>
      <c r="B12" s="3"/>
      <c r="C12" s="3"/>
      <c r="D12" s="16"/>
      <c r="E12" s="16"/>
      <c r="F12" s="16"/>
      <c r="G12" s="16"/>
      <c r="H12" s="156"/>
      <c r="I12" s="16" t="s">
        <v>365</v>
      </c>
      <c r="J12" s="159"/>
      <c r="K12" s="232"/>
      <c r="L12" s="161"/>
      <c r="M12" s="161"/>
      <c r="N12" s="161"/>
      <c r="O12" s="161"/>
    </row>
    <row r="13" spans="1:15" s="29" customFormat="1" ht="21" customHeight="1">
      <c r="A13" s="158"/>
      <c r="B13" s="532" t="s">
        <v>366</v>
      </c>
      <c r="C13" s="532"/>
      <c r="D13" s="532"/>
      <c r="E13" s="532"/>
      <c r="F13" s="532"/>
      <c r="G13" s="532"/>
      <c r="H13" s="532"/>
      <c r="I13" s="532"/>
      <c r="J13" s="159"/>
      <c r="K13" s="232"/>
      <c r="L13" s="161"/>
      <c r="M13" s="161"/>
      <c r="N13" s="161"/>
      <c r="O13" s="161"/>
    </row>
    <row r="14" spans="1:15" s="29" customFormat="1" ht="21" customHeight="1">
      <c r="A14" s="158"/>
      <c r="B14" s="643" t="s">
        <v>153</v>
      </c>
      <c r="C14" s="643"/>
      <c r="D14" s="643"/>
      <c r="E14" s="643"/>
      <c r="F14" s="643"/>
      <c r="G14" s="643"/>
      <c r="H14" s="643"/>
      <c r="I14" s="643"/>
      <c r="J14" s="159"/>
      <c r="K14" s="232"/>
      <c r="L14" s="161"/>
      <c r="M14" s="161"/>
      <c r="N14" s="161"/>
      <c r="O14" s="161"/>
    </row>
    <row r="15" spans="1:15" s="29" customFormat="1" ht="21" customHeight="1">
      <c r="A15" s="158"/>
      <c r="B15" s="490"/>
      <c r="C15" s="490"/>
      <c r="D15" s="490"/>
      <c r="E15" s="490"/>
      <c r="F15" s="490"/>
      <c r="G15" s="490"/>
      <c r="H15" s="490"/>
      <c r="I15" s="490"/>
      <c r="J15" s="159"/>
      <c r="K15" s="232"/>
      <c r="L15" s="161"/>
      <c r="M15" s="161"/>
      <c r="N15" s="161"/>
      <c r="O15" s="161"/>
    </row>
    <row r="16" spans="1:15" s="3" customFormat="1" ht="21" customHeight="1">
      <c r="A16" s="162"/>
      <c r="B16" s="629" t="s">
        <v>162</v>
      </c>
      <c r="C16" s="629"/>
      <c r="D16" s="629"/>
      <c r="E16" s="629"/>
      <c r="F16" s="629"/>
      <c r="G16" s="629"/>
      <c r="H16" s="629"/>
      <c r="I16" s="629"/>
      <c r="J16" s="238"/>
      <c r="K16" s="239"/>
      <c r="L16" s="233"/>
      <c r="M16" s="233"/>
      <c r="N16" s="233"/>
      <c r="O16" s="233"/>
    </row>
    <row r="17" spans="1:15" s="3" customFormat="1" ht="19.5" customHeight="1" thickBot="1">
      <c r="A17" s="42"/>
      <c r="B17" s="644" t="s">
        <v>367</v>
      </c>
      <c r="C17" s="644"/>
      <c r="D17" s="644"/>
      <c r="E17" s="644"/>
      <c r="F17" s="644"/>
      <c r="G17" s="644"/>
      <c r="H17" s="644"/>
      <c r="I17" s="644"/>
      <c r="J17" s="44"/>
      <c r="K17" s="164"/>
      <c r="L17" s="535"/>
      <c r="M17" s="535"/>
      <c r="N17" s="165"/>
      <c r="O17" s="233"/>
    </row>
    <row r="18" spans="1:15" s="3" customFormat="1" ht="39" customHeight="1" thickBot="1">
      <c r="A18" s="91"/>
      <c r="B18" s="645" t="s">
        <v>1</v>
      </c>
      <c r="C18" s="645" t="s">
        <v>40</v>
      </c>
      <c r="D18" s="648" t="s">
        <v>39</v>
      </c>
      <c r="E18" s="651" t="s">
        <v>158</v>
      </c>
      <c r="F18" s="652"/>
      <c r="G18" s="652"/>
      <c r="H18" s="652"/>
      <c r="I18" s="653"/>
      <c r="J18" s="44"/>
      <c r="K18" s="654"/>
      <c r="L18" s="654"/>
      <c r="M18" s="654"/>
      <c r="N18" s="654"/>
      <c r="O18" s="233"/>
    </row>
    <row r="19" spans="1:15" s="3" customFormat="1" ht="24" customHeight="1" thickBot="1">
      <c r="A19" s="91"/>
      <c r="B19" s="646"/>
      <c r="C19" s="646"/>
      <c r="D19" s="649"/>
      <c r="E19" s="43" t="s">
        <v>159</v>
      </c>
      <c r="F19" s="694" t="s">
        <v>99</v>
      </c>
      <c r="G19" s="789"/>
      <c r="H19" s="789"/>
      <c r="I19" s="790"/>
      <c r="J19" s="44"/>
      <c r="K19" s="45"/>
      <c r="L19" s="45"/>
      <c r="M19" s="45"/>
      <c r="N19" s="45"/>
      <c r="O19" s="233"/>
    </row>
    <row r="20" spans="1:15" s="3" customFormat="1" ht="39" customHeight="1" hidden="1" thickBot="1">
      <c r="A20" s="91"/>
      <c r="B20" s="647"/>
      <c r="C20" s="647"/>
      <c r="D20" s="650"/>
      <c r="E20" s="240"/>
      <c r="F20" s="791"/>
      <c r="G20" s="791"/>
      <c r="H20" s="791"/>
      <c r="I20" s="792"/>
      <c r="J20" s="47"/>
      <c r="K20" s="48"/>
      <c r="L20" s="48"/>
      <c r="M20" s="48"/>
      <c r="N20" s="48"/>
      <c r="O20" s="233"/>
    </row>
    <row r="21" spans="1:15" s="3" customFormat="1" ht="30.75" customHeight="1" hidden="1" thickBot="1">
      <c r="A21" s="4"/>
      <c r="B21" s="674"/>
      <c r="C21" s="674"/>
      <c r="D21" s="675"/>
      <c r="E21" s="793"/>
      <c r="F21" s="794"/>
      <c r="G21" s="794"/>
      <c r="H21" s="794"/>
      <c r="I21" s="794"/>
      <c r="J21" s="5"/>
      <c r="K21" s="567"/>
      <c r="L21" s="567"/>
      <c r="M21" s="567"/>
      <c r="N21" s="567"/>
      <c r="O21" s="233"/>
    </row>
    <row r="22" spans="1:15" s="3" customFormat="1" ht="19.5" thickBot="1">
      <c r="A22" s="4"/>
      <c r="B22" s="526" t="s">
        <v>62</v>
      </c>
      <c r="C22" s="529" t="s">
        <v>163</v>
      </c>
      <c r="D22" s="75">
        <v>1</v>
      </c>
      <c r="E22" s="219">
        <f>ROUND(E23*1.2/10,100)*10</f>
        <v>0</v>
      </c>
      <c r="F22" s="241">
        <f>ROUND(F23*1.2/10,100)*10</f>
        <v>1557600</v>
      </c>
      <c r="G22" s="797">
        <v>389.34</v>
      </c>
      <c r="H22" s="798"/>
      <c r="I22" s="799"/>
      <c r="J22" s="59"/>
      <c r="K22" s="60"/>
      <c r="L22" s="60"/>
      <c r="M22" s="60"/>
      <c r="N22" s="60"/>
      <c r="O22" s="233"/>
    </row>
    <row r="23" spans="1:15" s="3" customFormat="1" ht="19.5" thickBot="1">
      <c r="A23" s="4"/>
      <c r="B23" s="527"/>
      <c r="C23" s="530"/>
      <c r="D23" s="53">
        <v>2</v>
      </c>
      <c r="E23" s="203"/>
      <c r="F23" s="244">
        <f>1.1*F27</f>
        <v>1298000</v>
      </c>
      <c r="G23" s="797">
        <v>332.5</v>
      </c>
      <c r="H23" s="798"/>
      <c r="I23" s="799"/>
      <c r="J23" s="66"/>
      <c r="K23" s="60"/>
      <c r="L23" s="60"/>
      <c r="M23" s="60"/>
      <c r="N23" s="60"/>
      <c r="O23" s="233"/>
    </row>
    <row r="24" spans="1:15" s="3" customFormat="1" ht="19.5" thickBot="1">
      <c r="A24" s="4"/>
      <c r="B24" s="527"/>
      <c r="C24" s="530"/>
      <c r="D24" s="53" t="s">
        <v>77</v>
      </c>
      <c r="E24" s="203"/>
      <c r="F24" s="245">
        <f>ROUND(F23*0.8/10,100)*10</f>
        <v>1038400</v>
      </c>
      <c r="G24" s="797">
        <v>293.7</v>
      </c>
      <c r="H24" s="798"/>
      <c r="I24" s="799"/>
      <c r="J24" s="66"/>
      <c r="K24" s="60"/>
      <c r="L24" s="60"/>
      <c r="M24" s="60"/>
      <c r="N24" s="60"/>
      <c r="O24" s="233"/>
    </row>
    <row r="25" spans="1:15" s="3" customFormat="1" ht="19.5" hidden="1" thickBot="1">
      <c r="A25" s="4"/>
      <c r="B25" s="527"/>
      <c r="C25" s="531"/>
      <c r="D25" s="53"/>
      <c r="E25" s="201">
        <f>ROUND(E23*0.8/10,100)*10</f>
        <v>0</v>
      </c>
      <c r="F25" s="245">
        <v>726900</v>
      </c>
      <c r="G25" s="58"/>
      <c r="H25" s="54"/>
      <c r="I25" s="58"/>
      <c r="J25" s="59"/>
      <c r="K25" s="60"/>
      <c r="L25" s="60"/>
      <c r="M25" s="60"/>
      <c r="N25" s="60"/>
      <c r="O25" s="233"/>
    </row>
    <row r="26" spans="1:15" s="3" customFormat="1" ht="19.5" thickBot="1">
      <c r="A26" s="4"/>
      <c r="B26" s="527"/>
      <c r="C26" s="529" t="s">
        <v>164</v>
      </c>
      <c r="D26" s="53">
        <v>1</v>
      </c>
      <c r="E26" s="201">
        <f>ROUND(E27*1.2/10,100)*10</f>
        <v>0</v>
      </c>
      <c r="F26" s="245">
        <f>ROUND(F27*1.2/10,100)*10</f>
        <v>1416000</v>
      </c>
      <c r="G26" s="797">
        <v>389.34</v>
      </c>
      <c r="H26" s="798"/>
      <c r="I26" s="799"/>
      <c r="J26" s="59"/>
      <c r="K26" s="60"/>
      <c r="L26" s="60"/>
      <c r="M26" s="60"/>
      <c r="N26" s="60"/>
      <c r="O26" s="233"/>
    </row>
    <row r="27" spans="1:15" s="3" customFormat="1" ht="19.5" thickBot="1">
      <c r="A27" s="4"/>
      <c r="B27" s="527"/>
      <c r="C27" s="530"/>
      <c r="D27" s="53">
        <v>2</v>
      </c>
      <c r="E27" s="203"/>
      <c r="F27" s="244">
        <v>1180000</v>
      </c>
      <c r="G27" s="797">
        <v>332.5</v>
      </c>
      <c r="H27" s="798"/>
      <c r="I27" s="799"/>
      <c r="J27" s="66"/>
      <c r="K27" s="60"/>
      <c r="L27" s="60"/>
      <c r="M27" s="60"/>
      <c r="N27" s="60"/>
      <c r="O27" s="233"/>
    </row>
    <row r="28" spans="1:15" s="3" customFormat="1" ht="19.5" thickBot="1">
      <c r="A28" s="4"/>
      <c r="B28" s="527"/>
      <c r="C28" s="530"/>
      <c r="D28" s="53" t="s">
        <v>77</v>
      </c>
      <c r="E28" s="203"/>
      <c r="F28" s="245">
        <f>ROUND(F27*0.8/10,100)*10</f>
        <v>944000</v>
      </c>
      <c r="G28" s="797">
        <v>293.7</v>
      </c>
      <c r="H28" s="798"/>
      <c r="I28" s="799"/>
      <c r="J28" s="66"/>
      <c r="K28" s="60"/>
      <c r="L28" s="60"/>
      <c r="M28" s="60"/>
      <c r="N28" s="60"/>
      <c r="O28" s="233"/>
    </row>
    <row r="29" spans="1:15" s="3" customFormat="1" ht="19.5" hidden="1" thickBot="1">
      <c r="A29" s="4"/>
      <c r="B29" s="527"/>
      <c r="C29" s="530"/>
      <c r="D29" s="53" t="s">
        <v>78</v>
      </c>
      <c r="E29" s="201">
        <f>ROUND(E27*0.8/10,100)*10</f>
        <v>0</v>
      </c>
      <c r="F29" s="245">
        <f>ROUND(F27*0.56/10,100)*10</f>
        <v>660800</v>
      </c>
      <c r="G29" s="58"/>
      <c r="H29" s="54"/>
      <c r="I29" s="58"/>
      <c r="J29" s="59"/>
      <c r="K29" s="60"/>
      <c r="L29" s="60"/>
      <c r="M29" s="60"/>
      <c r="N29" s="60"/>
      <c r="O29" s="233"/>
    </row>
    <row r="30" spans="1:15" s="3" customFormat="1" ht="19.5" thickBot="1">
      <c r="A30" s="4"/>
      <c r="B30" s="527"/>
      <c r="C30" s="529" t="s">
        <v>41</v>
      </c>
      <c r="D30" s="53">
        <v>1</v>
      </c>
      <c r="E30" s="201">
        <f>ROUND(E31*1.2/10,100)*10</f>
        <v>0</v>
      </c>
      <c r="F30" s="245">
        <f>ROUND(F31*1.2/10,100)*10</f>
        <v>1699200</v>
      </c>
      <c r="G30" s="797">
        <v>395.52</v>
      </c>
      <c r="H30" s="798"/>
      <c r="I30" s="799"/>
      <c r="J30" s="59"/>
      <c r="K30" s="60"/>
      <c r="L30" s="60"/>
      <c r="M30" s="60"/>
      <c r="N30" s="60"/>
      <c r="O30" s="233"/>
    </row>
    <row r="31" spans="1:18" s="3" customFormat="1" ht="19.5" thickBot="1">
      <c r="A31" s="4"/>
      <c r="B31" s="527"/>
      <c r="C31" s="530"/>
      <c r="D31" s="86">
        <v>2</v>
      </c>
      <c r="E31" s="205"/>
      <c r="F31" s="247">
        <f>F27*1.2</f>
        <v>1416000</v>
      </c>
      <c r="G31" s="797">
        <v>369.2</v>
      </c>
      <c r="H31" s="798"/>
      <c r="I31" s="799"/>
      <c r="J31" s="66"/>
      <c r="K31" s="60"/>
      <c r="L31" s="60"/>
      <c r="M31" s="60"/>
      <c r="N31" s="60"/>
      <c r="O31" s="233"/>
      <c r="R31" s="491"/>
    </row>
    <row r="32" spans="1:15" s="3" customFormat="1" ht="19.5" thickBot="1">
      <c r="A32" s="4"/>
      <c r="B32" s="527"/>
      <c r="C32" s="531"/>
      <c r="D32" s="53" t="s">
        <v>77</v>
      </c>
      <c r="E32" s="203"/>
      <c r="F32" s="245">
        <f>ROUND(F31*0.8/10,100)*10</f>
        <v>1132800</v>
      </c>
      <c r="G32" s="797">
        <v>331.6</v>
      </c>
      <c r="H32" s="798"/>
      <c r="I32" s="799"/>
      <c r="J32" s="66"/>
      <c r="K32" s="60"/>
      <c r="L32" s="60"/>
      <c r="M32" s="60"/>
      <c r="N32" s="60"/>
      <c r="O32" s="233"/>
    </row>
    <row r="33" spans="1:15" s="3" customFormat="1" ht="19.5" thickBot="1">
      <c r="A33" s="4"/>
      <c r="B33" s="795"/>
      <c r="C33" s="621" t="s">
        <v>165</v>
      </c>
      <c r="D33" s="75">
        <v>1</v>
      </c>
      <c r="E33" s="313">
        <f>ROUND(E34*1.2/10,100)*10</f>
        <v>0</v>
      </c>
      <c r="F33" s="314">
        <f>ROUND(F34*1.2/10,100)*10</f>
        <v>1840800</v>
      </c>
      <c r="G33" s="739">
        <v>401.7</v>
      </c>
      <c r="H33" s="739"/>
      <c r="I33" s="740"/>
      <c r="J33" s="59"/>
      <c r="K33" s="60"/>
      <c r="L33" s="60"/>
      <c r="M33" s="60"/>
      <c r="N33" s="60"/>
      <c r="O33" s="233"/>
    </row>
    <row r="34" spans="1:15" s="3" customFormat="1" ht="19.5" thickBot="1">
      <c r="A34" s="4"/>
      <c r="B34" s="795"/>
      <c r="C34" s="622"/>
      <c r="D34" s="75">
        <v>2</v>
      </c>
      <c r="E34" s="98"/>
      <c r="F34" s="315">
        <f>F27*1.3</f>
        <v>1534000</v>
      </c>
      <c r="G34" s="803">
        <v>380.9</v>
      </c>
      <c r="H34" s="803"/>
      <c r="I34" s="804"/>
      <c r="J34" s="66"/>
      <c r="K34" s="60"/>
      <c r="L34" s="60"/>
      <c r="M34" s="60"/>
      <c r="N34" s="60"/>
      <c r="O34" s="233"/>
    </row>
    <row r="35" spans="1:15" s="3" customFormat="1" ht="19.5" thickBot="1">
      <c r="A35" s="4"/>
      <c r="B35" s="796"/>
      <c r="C35" s="623"/>
      <c r="D35" s="53">
        <v>3</v>
      </c>
      <c r="E35" s="316">
        <f>ROUND(E34*0.8/10,100)*10</f>
        <v>0</v>
      </c>
      <c r="F35" s="317">
        <f>ROUND(F34*0.8/10,100)*10</f>
        <v>1227200</v>
      </c>
      <c r="G35" s="739">
        <v>343.3</v>
      </c>
      <c r="H35" s="739"/>
      <c r="I35" s="740"/>
      <c r="J35" s="182"/>
      <c r="K35" s="60"/>
      <c r="L35" s="60"/>
      <c r="M35" s="60"/>
      <c r="N35" s="60"/>
      <c r="O35" s="233"/>
    </row>
    <row r="36" spans="1:15" s="3" customFormat="1" ht="18.75">
      <c r="A36" s="4"/>
      <c r="B36" s="489"/>
      <c r="C36" s="62"/>
      <c r="D36" s="62"/>
      <c r="E36" s="454"/>
      <c r="F36" s="205"/>
      <c r="G36" s="456"/>
      <c r="H36" s="454"/>
      <c r="I36" s="454"/>
      <c r="J36" s="182"/>
      <c r="K36" s="60"/>
      <c r="L36" s="60"/>
      <c r="M36" s="60"/>
      <c r="N36" s="60"/>
      <c r="O36" s="233"/>
    </row>
    <row r="37" spans="1:15" s="3" customFormat="1" ht="18.75">
      <c r="A37" s="4"/>
      <c r="B37" s="730" t="s">
        <v>119</v>
      </c>
      <c r="C37" s="730"/>
      <c r="D37" s="318"/>
      <c r="E37" s="319"/>
      <c r="F37" s="319"/>
      <c r="G37" s="319"/>
      <c r="H37" s="320"/>
      <c r="I37" s="321" t="s">
        <v>295</v>
      </c>
      <c r="J37" s="182"/>
      <c r="K37" s="60"/>
      <c r="L37" s="60"/>
      <c r="M37" s="60"/>
      <c r="N37" s="60"/>
      <c r="O37" s="233"/>
    </row>
    <row r="38" spans="1:15" s="3" customFormat="1" ht="19.5" customHeight="1">
      <c r="A38" s="116"/>
      <c r="B38" s="800" t="s">
        <v>368</v>
      </c>
      <c r="C38" s="800"/>
      <c r="D38" s="800"/>
      <c r="E38" s="800"/>
      <c r="F38" s="800"/>
      <c r="G38" s="800"/>
      <c r="H38" s="800"/>
      <c r="I38" s="800"/>
      <c r="J38" s="5"/>
      <c r="K38" s="51"/>
      <c r="L38" s="51"/>
      <c r="M38" s="51"/>
      <c r="N38" s="51"/>
      <c r="O38" s="233"/>
    </row>
    <row r="39" spans="1:15" s="3" customFormat="1" ht="15">
      <c r="A39" s="91"/>
      <c r="B39" s="801"/>
      <c r="C39" s="801"/>
      <c r="D39" s="801"/>
      <c r="E39" s="801"/>
      <c r="F39" s="801"/>
      <c r="G39" s="801"/>
      <c r="H39" s="801"/>
      <c r="I39" s="801"/>
      <c r="J39" s="5"/>
      <c r="K39" s="51"/>
      <c r="L39" s="51"/>
      <c r="M39" s="51"/>
      <c r="N39" s="51"/>
      <c r="O39" s="233"/>
    </row>
    <row r="40" spans="1:15" s="3" customFormat="1" ht="15">
      <c r="A40" s="4"/>
      <c r="B40" s="802"/>
      <c r="C40" s="802"/>
      <c r="D40" s="802"/>
      <c r="E40" s="802"/>
      <c r="F40" s="802"/>
      <c r="G40" s="802"/>
      <c r="H40" s="802"/>
      <c r="I40" s="802"/>
      <c r="J40" s="5"/>
      <c r="K40" s="51"/>
      <c r="L40" s="51"/>
      <c r="M40" s="51"/>
      <c r="N40" s="51"/>
      <c r="O40" s="233"/>
    </row>
  </sheetData>
  <sheetProtection/>
  <mergeCells count="36">
    <mergeCell ref="B37:C37"/>
    <mergeCell ref="B38:I38"/>
    <mergeCell ref="B39:I39"/>
    <mergeCell ref="B40:I40"/>
    <mergeCell ref="G30:I30"/>
    <mergeCell ref="G31:I31"/>
    <mergeCell ref="G32:I32"/>
    <mergeCell ref="C33:C35"/>
    <mergeCell ref="G33:I33"/>
    <mergeCell ref="G34:I34"/>
    <mergeCell ref="G35:I35"/>
    <mergeCell ref="B22:B35"/>
    <mergeCell ref="C22:C25"/>
    <mergeCell ref="G22:I22"/>
    <mergeCell ref="G23:I23"/>
    <mergeCell ref="G24:I24"/>
    <mergeCell ref="C26:C29"/>
    <mergeCell ref="G26:I26"/>
    <mergeCell ref="G27:I27"/>
    <mergeCell ref="G28:I28"/>
    <mergeCell ref="C30:C32"/>
    <mergeCell ref="L17:M17"/>
    <mergeCell ref="B18:B21"/>
    <mergeCell ref="C18:C21"/>
    <mergeCell ref="D18:D21"/>
    <mergeCell ref="E18:I18"/>
    <mergeCell ref="K18:N18"/>
    <mergeCell ref="F19:I20"/>
    <mergeCell ref="E21:I21"/>
    <mergeCell ref="K21:N21"/>
    <mergeCell ref="B6:I6"/>
    <mergeCell ref="B7:I7"/>
    <mergeCell ref="B13:I13"/>
    <mergeCell ref="B14:I14"/>
    <mergeCell ref="B16:I16"/>
    <mergeCell ref="B17:I17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IV62"/>
  <sheetViews>
    <sheetView view="pageBreakPreview" zoomScaleSheetLayoutView="100" zoomScalePageLayoutView="0" workbookViewId="0" topLeftCell="B1">
      <selection activeCell="B7" sqref="B7:J7"/>
    </sheetView>
  </sheetViews>
  <sheetFormatPr defaultColWidth="9.00390625" defaultRowHeight="12.75"/>
  <cols>
    <col min="1" max="1" width="1.00390625" style="3" hidden="1" customWidth="1"/>
    <col min="2" max="2" width="16.25390625" style="3" customWidth="1"/>
    <col min="3" max="3" width="18.375" style="3" customWidth="1"/>
    <col min="4" max="4" width="9.875" style="3" customWidth="1"/>
    <col min="5" max="5" width="13.875" style="3" hidden="1" customWidth="1"/>
    <col min="6" max="6" width="30.625" style="3" customWidth="1"/>
    <col min="7" max="7" width="13.875" style="3" hidden="1" customWidth="1"/>
    <col min="8" max="8" width="29.625" style="3" customWidth="1"/>
    <col min="9" max="9" width="0.12890625" style="3" hidden="1" customWidth="1"/>
    <col min="10" max="10" width="30.375" style="3" customWidth="1"/>
    <col min="11" max="11" width="1.625" style="3" customWidth="1"/>
    <col min="12" max="12" width="12.875" style="154" customWidth="1"/>
    <col min="13" max="15" width="12.875" style="3" customWidth="1"/>
    <col min="16" max="16384" width="9.125" style="3" customWidth="1"/>
  </cols>
  <sheetData>
    <row r="1" spans="4:11" ht="18.75">
      <c r="D1" s="16"/>
      <c r="E1" s="16"/>
      <c r="F1" s="16"/>
      <c r="G1" s="17" t="str">
        <f>'[1]хв'!$G$1</f>
        <v>УТВЕРЖДАЮ</v>
      </c>
      <c r="H1" s="152"/>
      <c r="I1" s="153"/>
      <c r="J1" s="19" t="s">
        <v>88</v>
      </c>
      <c r="K1" s="16"/>
    </row>
    <row r="2" spans="4:11" ht="18.75">
      <c r="D2" s="16"/>
      <c r="E2" s="16"/>
      <c r="F2" s="16"/>
      <c r="G2" s="22" t="str">
        <f>'[1]хв'!$G$2</f>
        <v>Директор ГЛХУ "Лельчицкий лесхоз"</v>
      </c>
      <c r="I2" s="153"/>
      <c r="J2" s="19" t="s">
        <v>121</v>
      </c>
      <c r="K2" s="22"/>
    </row>
    <row r="3" spans="4:11" ht="18.75">
      <c r="D3" s="16"/>
      <c r="E3" s="16"/>
      <c r="F3" s="16"/>
      <c r="G3" s="155"/>
      <c r="J3" s="19" t="s">
        <v>122</v>
      </c>
      <c r="K3" s="16"/>
    </row>
    <row r="4" spans="1:256" ht="15.75">
      <c r="A4" s="1" t="s">
        <v>123</v>
      </c>
      <c r="B4" s="1"/>
      <c r="C4" s="1"/>
      <c r="D4" s="1"/>
      <c r="E4" s="1"/>
      <c r="F4" s="1"/>
      <c r="G4" s="1"/>
      <c r="H4" s="1"/>
      <c r="I4" s="1" t="s">
        <v>123</v>
      </c>
      <c r="J4" s="1" t="s">
        <v>92</v>
      </c>
      <c r="K4" s="1"/>
      <c r="L4" s="1"/>
      <c r="M4" s="1"/>
      <c r="N4" s="1"/>
      <c r="O4" s="1"/>
      <c r="P4" s="1" t="s">
        <v>123</v>
      </c>
      <c r="Q4" s="1" t="s">
        <v>123</v>
      </c>
      <c r="R4" s="1" t="s">
        <v>123</v>
      </c>
      <c r="S4" s="1" t="s">
        <v>123</v>
      </c>
      <c r="T4" s="1" t="s">
        <v>123</v>
      </c>
      <c r="U4" s="1" t="s">
        <v>123</v>
      </c>
      <c r="V4" s="1" t="s">
        <v>123</v>
      </c>
      <c r="W4" s="1" t="s">
        <v>123</v>
      </c>
      <c r="X4" s="1" t="s">
        <v>123</v>
      </c>
      <c r="Y4" s="1" t="s">
        <v>123</v>
      </c>
      <c r="Z4" s="1" t="s">
        <v>123</v>
      </c>
      <c r="AA4" s="1" t="s">
        <v>123</v>
      </c>
      <c r="AB4" s="1" t="s">
        <v>123</v>
      </c>
      <c r="AC4" s="1" t="s">
        <v>123</v>
      </c>
      <c r="AD4" s="1" t="s">
        <v>123</v>
      </c>
      <c r="AE4" s="1" t="s">
        <v>123</v>
      </c>
      <c r="AF4" s="1" t="s">
        <v>123</v>
      </c>
      <c r="AG4" s="1" t="s">
        <v>123</v>
      </c>
      <c r="AH4" s="1" t="s">
        <v>123</v>
      </c>
      <c r="AI4" s="1" t="s">
        <v>123</v>
      </c>
      <c r="AJ4" s="1" t="s">
        <v>123</v>
      </c>
      <c r="AK4" s="1" t="s">
        <v>123</v>
      </c>
      <c r="AL4" s="1" t="s">
        <v>123</v>
      </c>
      <c r="AM4" s="1" t="s">
        <v>123</v>
      </c>
      <c r="AN4" s="1" t="s">
        <v>123</v>
      </c>
      <c r="AO4" s="1" t="s">
        <v>123</v>
      </c>
      <c r="AP4" s="1" t="s">
        <v>123</v>
      </c>
      <c r="AQ4" s="1" t="s">
        <v>123</v>
      </c>
      <c r="AR4" s="1" t="s">
        <v>123</v>
      </c>
      <c r="AS4" s="1" t="s">
        <v>123</v>
      </c>
      <c r="AT4" s="1" t="s">
        <v>123</v>
      </c>
      <c r="AU4" s="1" t="s">
        <v>123</v>
      </c>
      <c r="AV4" s="1" t="s">
        <v>123</v>
      </c>
      <c r="AW4" s="1" t="s">
        <v>123</v>
      </c>
      <c r="AX4" s="1" t="s">
        <v>123</v>
      </c>
      <c r="AY4" s="1" t="s">
        <v>123</v>
      </c>
      <c r="AZ4" s="1" t="s">
        <v>123</v>
      </c>
      <c r="BA4" s="1" t="s">
        <v>123</v>
      </c>
      <c r="BB4" s="1" t="s">
        <v>123</v>
      </c>
      <c r="BC4" s="1" t="s">
        <v>123</v>
      </c>
      <c r="BD4" s="1" t="s">
        <v>123</v>
      </c>
      <c r="BE4" s="1" t="s">
        <v>123</v>
      </c>
      <c r="BF4" s="1" t="s">
        <v>123</v>
      </c>
      <c r="BG4" s="1" t="s">
        <v>123</v>
      </c>
      <c r="BH4" s="1" t="s">
        <v>123</v>
      </c>
      <c r="BI4" s="1" t="s">
        <v>123</v>
      </c>
      <c r="BJ4" s="1" t="s">
        <v>123</v>
      </c>
      <c r="BK4" s="1" t="s">
        <v>123</v>
      </c>
      <c r="BL4" s="1" t="s">
        <v>123</v>
      </c>
      <c r="BM4" s="1" t="s">
        <v>123</v>
      </c>
      <c r="BN4" s="1" t="s">
        <v>123</v>
      </c>
      <c r="BO4" s="1" t="s">
        <v>123</v>
      </c>
      <c r="BP4" s="1" t="s">
        <v>123</v>
      </c>
      <c r="BQ4" s="1" t="s">
        <v>123</v>
      </c>
      <c r="BR4" s="1" t="s">
        <v>123</v>
      </c>
      <c r="BS4" s="1" t="s">
        <v>123</v>
      </c>
      <c r="BT4" s="1" t="s">
        <v>123</v>
      </c>
      <c r="BU4" s="1" t="s">
        <v>123</v>
      </c>
      <c r="BV4" s="1" t="s">
        <v>123</v>
      </c>
      <c r="BW4" s="1" t="s">
        <v>123</v>
      </c>
      <c r="BX4" s="1" t="s">
        <v>123</v>
      </c>
      <c r="BY4" s="1" t="s">
        <v>123</v>
      </c>
      <c r="BZ4" s="1" t="s">
        <v>123</v>
      </c>
      <c r="CA4" s="1" t="s">
        <v>123</v>
      </c>
      <c r="CB4" s="1" t="s">
        <v>123</v>
      </c>
      <c r="CC4" s="1" t="s">
        <v>123</v>
      </c>
      <c r="CD4" s="1" t="s">
        <v>123</v>
      </c>
      <c r="CE4" s="1" t="s">
        <v>123</v>
      </c>
      <c r="CF4" s="1" t="s">
        <v>123</v>
      </c>
      <c r="CG4" s="1" t="s">
        <v>123</v>
      </c>
      <c r="CH4" s="1" t="s">
        <v>123</v>
      </c>
      <c r="CI4" s="1" t="s">
        <v>123</v>
      </c>
      <c r="CJ4" s="1" t="s">
        <v>123</v>
      </c>
      <c r="CK4" s="1" t="s">
        <v>123</v>
      </c>
      <c r="CL4" s="1" t="s">
        <v>123</v>
      </c>
      <c r="CM4" s="1" t="s">
        <v>123</v>
      </c>
      <c r="CN4" s="1" t="s">
        <v>123</v>
      </c>
      <c r="CO4" s="1" t="s">
        <v>123</v>
      </c>
      <c r="CP4" s="1" t="s">
        <v>123</v>
      </c>
      <c r="CQ4" s="1" t="s">
        <v>123</v>
      </c>
      <c r="CR4" s="1" t="s">
        <v>123</v>
      </c>
      <c r="CS4" s="1" t="s">
        <v>123</v>
      </c>
      <c r="CT4" s="1" t="s">
        <v>123</v>
      </c>
      <c r="CU4" s="1" t="s">
        <v>123</v>
      </c>
      <c r="CV4" s="1" t="s">
        <v>123</v>
      </c>
      <c r="CW4" s="1" t="s">
        <v>123</v>
      </c>
      <c r="CX4" s="1" t="s">
        <v>123</v>
      </c>
      <c r="CY4" s="1" t="s">
        <v>123</v>
      </c>
      <c r="CZ4" s="1" t="s">
        <v>123</v>
      </c>
      <c r="DA4" s="1" t="s">
        <v>123</v>
      </c>
      <c r="DB4" s="1" t="s">
        <v>123</v>
      </c>
      <c r="DC4" s="1" t="s">
        <v>123</v>
      </c>
      <c r="DD4" s="1" t="s">
        <v>123</v>
      </c>
      <c r="DE4" s="1" t="s">
        <v>123</v>
      </c>
      <c r="DF4" s="1" t="s">
        <v>123</v>
      </c>
      <c r="DG4" s="1" t="s">
        <v>123</v>
      </c>
      <c r="DH4" s="1" t="s">
        <v>123</v>
      </c>
      <c r="DI4" s="1" t="s">
        <v>123</v>
      </c>
      <c r="DJ4" s="1" t="s">
        <v>123</v>
      </c>
      <c r="DK4" s="1" t="s">
        <v>123</v>
      </c>
      <c r="DL4" s="1" t="s">
        <v>123</v>
      </c>
      <c r="DM4" s="1" t="s">
        <v>123</v>
      </c>
      <c r="DN4" s="1" t="s">
        <v>123</v>
      </c>
      <c r="DO4" s="1" t="s">
        <v>123</v>
      </c>
      <c r="DP4" s="1" t="s">
        <v>123</v>
      </c>
      <c r="DQ4" s="1" t="s">
        <v>123</v>
      </c>
      <c r="DR4" s="1" t="s">
        <v>123</v>
      </c>
      <c r="DS4" s="1" t="s">
        <v>123</v>
      </c>
      <c r="DT4" s="1" t="s">
        <v>123</v>
      </c>
      <c r="DU4" s="1" t="s">
        <v>123</v>
      </c>
      <c r="DV4" s="1" t="s">
        <v>123</v>
      </c>
      <c r="DW4" s="1" t="s">
        <v>123</v>
      </c>
      <c r="DX4" s="1" t="s">
        <v>123</v>
      </c>
      <c r="DY4" s="1" t="s">
        <v>123</v>
      </c>
      <c r="DZ4" s="1" t="s">
        <v>123</v>
      </c>
      <c r="EA4" s="1" t="s">
        <v>123</v>
      </c>
      <c r="EB4" s="1" t="s">
        <v>123</v>
      </c>
      <c r="EC4" s="1" t="s">
        <v>123</v>
      </c>
      <c r="ED4" s="1" t="s">
        <v>123</v>
      </c>
      <c r="EE4" s="1" t="s">
        <v>123</v>
      </c>
      <c r="EF4" s="1" t="s">
        <v>123</v>
      </c>
      <c r="EG4" s="1" t="s">
        <v>123</v>
      </c>
      <c r="EH4" s="1" t="s">
        <v>123</v>
      </c>
      <c r="EI4" s="1" t="s">
        <v>123</v>
      </c>
      <c r="EJ4" s="1" t="s">
        <v>123</v>
      </c>
      <c r="EK4" s="1" t="s">
        <v>123</v>
      </c>
      <c r="EL4" s="1" t="s">
        <v>123</v>
      </c>
      <c r="EM4" s="1" t="s">
        <v>123</v>
      </c>
      <c r="EN4" s="1" t="s">
        <v>123</v>
      </c>
      <c r="EO4" s="1" t="s">
        <v>123</v>
      </c>
      <c r="EP4" s="1" t="s">
        <v>123</v>
      </c>
      <c r="EQ4" s="1" t="s">
        <v>123</v>
      </c>
      <c r="ER4" s="1" t="s">
        <v>123</v>
      </c>
      <c r="ES4" s="1" t="s">
        <v>123</v>
      </c>
      <c r="ET4" s="1" t="s">
        <v>123</v>
      </c>
      <c r="EU4" s="1" t="s">
        <v>123</v>
      </c>
      <c r="EV4" s="1" t="s">
        <v>123</v>
      </c>
      <c r="EW4" s="1" t="s">
        <v>123</v>
      </c>
      <c r="EX4" s="1" t="s">
        <v>123</v>
      </c>
      <c r="EY4" s="1" t="s">
        <v>123</v>
      </c>
      <c r="EZ4" s="1" t="s">
        <v>123</v>
      </c>
      <c r="FA4" s="1" t="s">
        <v>123</v>
      </c>
      <c r="FB4" s="1" t="s">
        <v>123</v>
      </c>
      <c r="FC4" s="1" t="s">
        <v>123</v>
      </c>
      <c r="FD4" s="1" t="s">
        <v>123</v>
      </c>
      <c r="FE4" s="1" t="s">
        <v>123</v>
      </c>
      <c r="FF4" s="1" t="s">
        <v>123</v>
      </c>
      <c r="FG4" s="1" t="s">
        <v>123</v>
      </c>
      <c r="FH4" s="1" t="s">
        <v>123</v>
      </c>
      <c r="FI4" s="1" t="s">
        <v>123</v>
      </c>
      <c r="FJ4" s="1" t="s">
        <v>123</v>
      </c>
      <c r="FK4" s="1" t="s">
        <v>123</v>
      </c>
      <c r="FL4" s="1" t="s">
        <v>123</v>
      </c>
      <c r="FM4" s="1" t="s">
        <v>123</v>
      </c>
      <c r="FN4" s="1" t="s">
        <v>123</v>
      </c>
      <c r="FO4" s="1" t="s">
        <v>123</v>
      </c>
      <c r="FP4" s="1" t="s">
        <v>123</v>
      </c>
      <c r="FQ4" s="1" t="s">
        <v>123</v>
      </c>
      <c r="FR4" s="1" t="s">
        <v>123</v>
      </c>
      <c r="FS4" s="1" t="s">
        <v>123</v>
      </c>
      <c r="FT4" s="1" t="s">
        <v>123</v>
      </c>
      <c r="FU4" s="1" t="s">
        <v>123</v>
      </c>
      <c r="FV4" s="1" t="s">
        <v>123</v>
      </c>
      <c r="FW4" s="1" t="s">
        <v>123</v>
      </c>
      <c r="FX4" s="1" t="s">
        <v>123</v>
      </c>
      <c r="FY4" s="1" t="s">
        <v>123</v>
      </c>
      <c r="FZ4" s="1" t="s">
        <v>123</v>
      </c>
      <c r="GA4" s="1" t="s">
        <v>123</v>
      </c>
      <c r="GB4" s="1" t="s">
        <v>123</v>
      </c>
      <c r="GC4" s="1" t="s">
        <v>123</v>
      </c>
      <c r="GD4" s="1" t="s">
        <v>123</v>
      </c>
      <c r="GE4" s="1" t="s">
        <v>123</v>
      </c>
      <c r="GF4" s="1" t="s">
        <v>123</v>
      </c>
      <c r="GG4" s="1" t="s">
        <v>123</v>
      </c>
      <c r="GH4" s="1" t="s">
        <v>123</v>
      </c>
      <c r="GI4" s="1" t="s">
        <v>123</v>
      </c>
      <c r="GJ4" s="1" t="s">
        <v>123</v>
      </c>
      <c r="GK4" s="1" t="s">
        <v>123</v>
      </c>
      <c r="GL4" s="1" t="s">
        <v>123</v>
      </c>
      <c r="GM4" s="1" t="s">
        <v>123</v>
      </c>
      <c r="GN4" s="1" t="s">
        <v>123</v>
      </c>
      <c r="GO4" s="1" t="s">
        <v>123</v>
      </c>
      <c r="GP4" s="1" t="s">
        <v>123</v>
      </c>
      <c r="GQ4" s="1" t="s">
        <v>123</v>
      </c>
      <c r="GR4" s="1" t="s">
        <v>123</v>
      </c>
      <c r="GS4" s="1" t="s">
        <v>123</v>
      </c>
      <c r="GT4" s="1" t="s">
        <v>123</v>
      </c>
      <c r="GU4" s="1" t="s">
        <v>123</v>
      </c>
      <c r="GV4" s="1" t="s">
        <v>123</v>
      </c>
      <c r="GW4" s="1" t="s">
        <v>123</v>
      </c>
      <c r="GX4" s="1" t="s">
        <v>123</v>
      </c>
      <c r="GY4" s="1" t="s">
        <v>123</v>
      </c>
      <c r="GZ4" s="1" t="s">
        <v>123</v>
      </c>
      <c r="HA4" s="1" t="s">
        <v>123</v>
      </c>
      <c r="HB4" s="1" t="s">
        <v>123</v>
      </c>
      <c r="HC4" s="1" t="s">
        <v>123</v>
      </c>
      <c r="HD4" s="1" t="s">
        <v>123</v>
      </c>
      <c r="HE4" s="1" t="s">
        <v>123</v>
      </c>
      <c r="HF4" s="1" t="s">
        <v>123</v>
      </c>
      <c r="HG4" s="1" t="s">
        <v>123</v>
      </c>
      <c r="HH4" s="1" t="s">
        <v>123</v>
      </c>
      <c r="HI4" s="1" t="s">
        <v>123</v>
      </c>
      <c r="HJ4" s="1" t="s">
        <v>123</v>
      </c>
      <c r="HK4" s="1" t="s">
        <v>123</v>
      </c>
      <c r="HL4" s="1" t="s">
        <v>123</v>
      </c>
      <c r="HM4" s="1" t="s">
        <v>123</v>
      </c>
      <c r="HN4" s="1" t="s">
        <v>123</v>
      </c>
      <c r="HO4" s="1" t="s">
        <v>123</v>
      </c>
      <c r="HP4" s="1" t="s">
        <v>123</v>
      </c>
      <c r="HQ4" s="1" t="s">
        <v>123</v>
      </c>
      <c r="HR4" s="1" t="s">
        <v>123</v>
      </c>
      <c r="HS4" s="1" t="s">
        <v>123</v>
      </c>
      <c r="HT4" s="1" t="s">
        <v>123</v>
      </c>
      <c r="HU4" s="1" t="s">
        <v>123</v>
      </c>
      <c r="HV4" s="1" t="s">
        <v>123</v>
      </c>
      <c r="HW4" s="1" t="s">
        <v>123</v>
      </c>
      <c r="HX4" s="1" t="s">
        <v>123</v>
      </c>
      <c r="HY4" s="1" t="s">
        <v>123</v>
      </c>
      <c r="HZ4" s="1" t="s">
        <v>123</v>
      </c>
      <c r="IA4" s="1" t="s">
        <v>123</v>
      </c>
      <c r="IB4" s="1" t="s">
        <v>123</v>
      </c>
      <c r="IC4" s="1" t="s">
        <v>123</v>
      </c>
      <c r="ID4" s="1" t="s">
        <v>123</v>
      </c>
      <c r="IE4" s="1" t="s">
        <v>123</v>
      </c>
      <c r="IF4" s="1" t="s">
        <v>123</v>
      </c>
      <c r="IG4" s="1" t="s">
        <v>123</v>
      </c>
      <c r="IH4" s="1" t="s">
        <v>123</v>
      </c>
      <c r="II4" s="1" t="s">
        <v>123</v>
      </c>
      <c r="IJ4" s="1" t="s">
        <v>123</v>
      </c>
      <c r="IK4" s="1" t="s">
        <v>123</v>
      </c>
      <c r="IL4" s="1" t="s">
        <v>123</v>
      </c>
      <c r="IM4" s="1" t="s">
        <v>123</v>
      </c>
      <c r="IN4" s="1" t="s">
        <v>123</v>
      </c>
      <c r="IO4" s="1" t="s">
        <v>123</v>
      </c>
      <c r="IP4" s="1" t="s">
        <v>123</v>
      </c>
      <c r="IQ4" s="1" t="s">
        <v>123</v>
      </c>
      <c r="IR4" s="1" t="s">
        <v>123</v>
      </c>
      <c r="IS4" s="1" t="s">
        <v>123</v>
      </c>
      <c r="IT4" s="1" t="s">
        <v>123</v>
      </c>
      <c r="IU4" s="1" t="s">
        <v>123</v>
      </c>
      <c r="IV4" s="1" t="s">
        <v>123</v>
      </c>
    </row>
    <row r="5" spans="1:256" ht="15.75">
      <c r="A5" s="16" t="s">
        <v>93</v>
      </c>
      <c r="B5" s="16"/>
      <c r="C5" s="16"/>
      <c r="D5" s="16"/>
      <c r="E5" s="16"/>
      <c r="F5" s="16"/>
      <c r="G5" s="16"/>
      <c r="H5" s="16"/>
      <c r="I5" s="16" t="s">
        <v>93</v>
      </c>
      <c r="J5" s="16" t="s">
        <v>93</v>
      </c>
      <c r="K5" s="16"/>
      <c r="L5" s="16"/>
      <c r="M5" s="16"/>
      <c r="N5" s="16"/>
      <c r="O5" s="16"/>
      <c r="P5" s="16" t="s">
        <v>93</v>
      </c>
      <c r="Q5" s="16" t="s">
        <v>93</v>
      </c>
      <c r="R5" s="16" t="s">
        <v>93</v>
      </c>
      <c r="S5" s="16" t="s">
        <v>93</v>
      </c>
      <c r="T5" s="16" t="s">
        <v>93</v>
      </c>
      <c r="U5" s="16" t="s">
        <v>93</v>
      </c>
      <c r="V5" s="16" t="s">
        <v>93</v>
      </c>
      <c r="W5" s="16" t="s">
        <v>93</v>
      </c>
      <c r="X5" s="16" t="s">
        <v>93</v>
      </c>
      <c r="Y5" s="16" t="s">
        <v>93</v>
      </c>
      <c r="Z5" s="16" t="s">
        <v>93</v>
      </c>
      <c r="AA5" s="16" t="s">
        <v>93</v>
      </c>
      <c r="AB5" s="16" t="s">
        <v>93</v>
      </c>
      <c r="AC5" s="16" t="s">
        <v>93</v>
      </c>
      <c r="AD5" s="16" t="s">
        <v>93</v>
      </c>
      <c r="AE5" s="16" t="s">
        <v>93</v>
      </c>
      <c r="AF5" s="16" t="s">
        <v>93</v>
      </c>
      <c r="AG5" s="16" t="s">
        <v>93</v>
      </c>
      <c r="AH5" s="16" t="s">
        <v>93</v>
      </c>
      <c r="AI5" s="16" t="s">
        <v>93</v>
      </c>
      <c r="AJ5" s="16" t="s">
        <v>93</v>
      </c>
      <c r="AK5" s="16" t="s">
        <v>93</v>
      </c>
      <c r="AL5" s="16" t="s">
        <v>93</v>
      </c>
      <c r="AM5" s="16" t="s">
        <v>93</v>
      </c>
      <c r="AN5" s="16" t="s">
        <v>93</v>
      </c>
      <c r="AO5" s="16" t="s">
        <v>93</v>
      </c>
      <c r="AP5" s="16" t="s">
        <v>93</v>
      </c>
      <c r="AQ5" s="16" t="s">
        <v>93</v>
      </c>
      <c r="AR5" s="16" t="s">
        <v>93</v>
      </c>
      <c r="AS5" s="16" t="s">
        <v>93</v>
      </c>
      <c r="AT5" s="16" t="s">
        <v>93</v>
      </c>
      <c r="AU5" s="16" t="s">
        <v>93</v>
      </c>
      <c r="AV5" s="16" t="s">
        <v>93</v>
      </c>
      <c r="AW5" s="16" t="s">
        <v>93</v>
      </c>
      <c r="AX5" s="16" t="s">
        <v>93</v>
      </c>
      <c r="AY5" s="16" t="s">
        <v>93</v>
      </c>
      <c r="AZ5" s="16" t="s">
        <v>93</v>
      </c>
      <c r="BA5" s="16" t="s">
        <v>93</v>
      </c>
      <c r="BB5" s="16" t="s">
        <v>93</v>
      </c>
      <c r="BC5" s="16" t="s">
        <v>93</v>
      </c>
      <c r="BD5" s="16" t="s">
        <v>93</v>
      </c>
      <c r="BE5" s="16" t="s">
        <v>93</v>
      </c>
      <c r="BF5" s="16" t="s">
        <v>93</v>
      </c>
      <c r="BG5" s="16" t="s">
        <v>93</v>
      </c>
      <c r="BH5" s="16" t="s">
        <v>93</v>
      </c>
      <c r="BI5" s="16" t="s">
        <v>93</v>
      </c>
      <c r="BJ5" s="16" t="s">
        <v>93</v>
      </c>
      <c r="BK5" s="16" t="s">
        <v>93</v>
      </c>
      <c r="BL5" s="16" t="s">
        <v>93</v>
      </c>
      <c r="BM5" s="16" t="s">
        <v>93</v>
      </c>
      <c r="BN5" s="16" t="s">
        <v>93</v>
      </c>
      <c r="BO5" s="16" t="s">
        <v>93</v>
      </c>
      <c r="BP5" s="16" t="s">
        <v>93</v>
      </c>
      <c r="BQ5" s="16" t="s">
        <v>93</v>
      </c>
      <c r="BR5" s="16" t="s">
        <v>93</v>
      </c>
      <c r="BS5" s="16" t="s">
        <v>93</v>
      </c>
      <c r="BT5" s="16" t="s">
        <v>93</v>
      </c>
      <c r="BU5" s="16" t="s">
        <v>93</v>
      </c>
      <c r="BV5" s="16" t="s">
        <v>93</v>
      </c>
      <c r="BW5" s="16" t="s">
        <v>93</v>
      </c>
      <c r="BX5" s="16" t="s">
        <v>93</v>
      </c>
      <c r="BY5" s="16" t="s">
        <v>93</v>
      </c>
      <c r="BZ5" s="16" t="s">
        <v>93</v>
      </c>
      <c r="CA5" s="16" t="s">
        <v>93</v>
      </c>
      <c r="CB5" s="16" t="s">
        <v>93</v>
      </c>
      <c r="CC5" s="16" t="s">
        <v>93</v>
      </c>
      <c r="CD5" s="16" t="s">
        <v>93</v>
      </c>
      <c r="CE5" s="16" t="s">
        <v>93</v>
      </c>
      <c r="CF5" s="16" t="s">
        <v>93</v>
      </c>
      <c r="CG5" s="16" t="s">
        <v>93</v>
      </c>
      <c r="CH5" s="16" t="s">
        <v>93</v>
      </c>
      <c r="CI5" s="16" t="s">
        <v>93</v>
      </c>
      <c r="CJ5" s="16" t="s">
        <v>93</v>
      </c>
      <c r="CK5" s="16" t="s">
        <v>93</v>
      </c>
      <c r="CL5" s="16" t="s">
        <v>93</v>
      </c>
      <c r="CM5" s="16" t="s">
        <v>93</v>
      </c>
      <c r="CN5" s="16" t="s">
        <v>93</v>
      </c>
      <c r="CO5" s="16" t="s">
        <v>93</v>
      </c>
      <c r="CP5" s="16" t="s">
        <v>93</v>
      </c>
      <c r="CQ5" s="16" t="s">
        <v>93</v>
      </c>
      <c r="CR5" s="16" t="s">
        <v>93</v>
      </c>
      <c r="CS5" s="16" t="s">
        <v>93</v>
      </c>
      <c r="CT5" s="16" t="s">
        <v>93</v>
      </c>
      <c r="CU5" s="16" t="s">
        <v>93</v>
      </c>
      <c r="CV5" s="16" t="s">
        <v>93</v>
      </c>
      <c r="CW5" s="16" t="s">
        <v>93</v>
      </c>
      <c r="CX5" s="16" t="s">
        <v>93</v>
      </c>
      <c r="CY5" s="16" t="s">
        <v>93</v>
      </c>
      <c r="CZ5" s="16" t="s">
        <v>93</v>
      </c>
      <c r="DA5" s="16" t="s">
        <v>93</v>
      </c>
      <c r="DB5" s="16" t="s">
        <v>93</v>
      </c>
      <c r="DC5" s="16" t="s">
        <v>93</v>
      </c>
      <c r="DD5" s="16" t="s">
        <v>93</v>
      </c>
      <c r="DE5" s="16" t="s">
        <v>93</v>
      </c>
      <c r="DF5" s="16" t="s">
        <v>93</v>
      </c>
      <c r="DG5" s="16" t="s">
        <v>93</v>
      </c>
      <c r="DH5" s="16" t="s">
        <v>93</v>
      </c>
      <c r="DI5" s="16" t="s">
        <v>93</v>
      </c>
      <c r="DJ5" s="16" t="s">
        <v>93</v>
      </c>
      <c r="DK5" s="16" t="s">
        <v>93</v>
      </c>
      <c r="DL5" s="16" t="s">
        <v>93</v>
      </c>
      <c r="DM5" s="16" t="s">
        <v>93</v>
      </c>
      <c r="DN5" s="16" t="s">
        <v>93</v>
      </c>
      <c r="DO5" s="16" t="s">
        <v>93</v>
      </c>
      <c r="DP5" s="16" t="s">
        <v>93</v>
      </c>
      <c r="DQ5" s="16" t="s">
        <v>93</v>
      </c>
      <c r="DR5" s="16" t="s">
        <v>93</v>
      </c>
      <c r="DS5" s="16" t="s">
        <v>93</v>
      </c>
      <c r="DT5" s="16" t="s">
        <v>93</v>
      </c>
      <c r="DU5" s="16" t="s">
        <v>93</v>
      </c>
      <c r="DV5" s="16" t="s">
        <v>93</v>
      </c>
      <c r="DW5" s="16" t="s">
        <v>93</v>
      </c>
      <c r="DX5" s="16" t="s">
        <v>93</v>
      </c>
      <c r="DY5" s="16" t="s">
        <v>93</v>
      </c>
      <c r="DZ5" s="16" t="s">
        <v>93</v>
      </c>
      <c r="EA5" s="16" t="s">
        <v>93</v>
      </c>
      <c r="EB5" s="16" t="s">
        <v>93</v>
      </c>
      <c r="EC5" s="16" t="s">
        <v>93</v>
      </c>
      <c r="ED5" s="16" t="s">
        <v>93</v>
      </c>
      <c r="EE5" s="16" t="s">
        <v>93</v>
      </c>
      <c r="EF5" s="16" t="s">
        <v>93</v>
      </c>
      <c r="EG5" s="16" t="s">
        <v>93</v>
      </c>
      <c r="EH5" s="16" t="s">
        <v>93</v>
      </c>
      <c r="EI5" s="16" t="s">
        <v>93</v>
      </c>
      <c r="EJ5" s="16" t="s">
        <v>93</v>
      </c>
      <c r="EK5" s="16" t="s">
        <v>93</v>
      </c>
      <c r="EL5" s="16" t="s">
        <v>93</v>
      </c>
      <c r="EM5" s="16" t="s">
        <v>93</v>
      </c>
      <c r="EN5" s="16" t="s">
        <v>93</v>
      </c>
      <c r="EO5" s="16" t="s">
        <v>93</v>
      </c>
      <c r="EP5" s="16" t="s">
        <v>93</v>
      </c>
      <c r="EQ5" s="16" t="s">
        <v>93</v>
      </c>
      <c r="ER5" s="16" t="s">
        <v>93</v>
      </c>
      <c r="ES5" s="16" t="s">
        <v>93</v>
      </c>
      <c r="ET5" s="16" t="s">
        <v>93</v>
      </c>
      <c r="EU5" s="16" t="s">
        <v>93</v>
      </c>
      <c r="EV5" s="16" t="s">
        <v>93</v>
      </c>
      <c r="EW5" s="16" t="s">
        <v>93</v>
      </c>
      <c r="EX5" s="16" t="s">
        <v>93</v>
      </c>
      <c r="EY5" s="16" t="s">
        <v>93</v>
      </c>
      <c r="EZ5" s="16" t="s">
        <v>93</v>
      </c>
      <c r="FA5" s="16" t="s">
        <v>93</v>
      </c>
      <c r="FB5" s="16" t="s">
        <v>93</v>
      </c>
      <c r="FC5" s="16" t="s">
        <v>93</v>
      </c>
      <c r="FD5" s="16" t="s">
        <v>93</v>
      </c>
      <c r="FE5" s="16" t="s">
        <v>93</v>
      </c>
      <c r="FF5" s="16" t="s">
        <v>93</v>
      </c>
      <c r="FG5" s="16" t="s">
        <v>93</v>
      </c>
      <c r="FH5" s="16" t="s">
        <v>93</v>
      </c>
      <c r="FI5" s="16" t="s">
        <v>93</v>
      </c>
      <c r="FJ5" s="16" t="s">
        <v>93</v>
      </c>
      <c r="FK5" s="16" t="s">
        <v>93</v>
      </c>
      <c r="FL5" s="16" t="s">
        <v>93</v>
      </c>
      <c r="FM5" s="16" t="s">
        <v>93</v>
      </c>
      <c r="FN5" s="16" t="s">
        <v>93</v>
      </c>
      <c r="FO5" s="16" t="s">
        <v>93</v>
      </c>
      <c r="FP5" s="16" t="s">
        <v>93</v>
      </c>
      <c r="FQ5" s="16" t="s">
        <v>93</v>
      </c>
      <c r="FR5" s="16" t="s">
        <v>93</v>
      </c>
      <c r="FS5" s="16" t="s">
        <v>93</v>
      </c>
      <c r="FT5" s="16" t="s">
        <v>93</v>
      </c>
      <c r="FU5" s="16" t="s">
        <v>93</v>
      </c>
      <c r="FV5" s="16" t="s">
        <v>93</v>
      </c>
      <c r="FW5" s="16" t="s">
        <v>93</v>
      </c>
      <c r="FX5" s="16" t="s">
        <v>93</v>
      </c>
      <c r="FY5" s="16" t="s">
        <v>93</v>
      </c>
      <c r="FZ5" s="16" t="s">
        <v>93</v>
      </c>
      <c r="GA5" s="16" t="s">
        <v>93</v>
      </c>
      <c r="GB5" s="16" t="s">
        <v>93</v>
      </c>
      <c r="GC5" s="16" t="s">
        <v>93</v>
      </c>
      <c r="GD5" s="16" t="s">
        <v>93</v>
      </c>
      <c r="GE5" s="16" t="s">
        <v>93</v>
      </c>
      <c r="GF5" s="16" t="s">
        <v>93</v>
      </c>
      <c r="GG5" s="16" t="s">
        <v>93</v>
      </c>
      <c r="GH5" s="16" t="s">
        <v>93</v>
      </c>
      <c r="GI5" s="16" t="s">
        <v>93</v>
      </c>
      <c r="GJ5" s="16" t="s">
        <v>93</v>
      </c>
      <c r="GK5" s="16" t="s">
        <v>93</v>
      </c>
      <c r="GL5" s="16" t="s">
        <v>93</v>
      </c>
      <c r="GM5" s="16" t="s">
        <v>93</v>
      </c>
      <c r="GN5" s="16" t="s">
        <v>93</v>
      </c>
      <c r="GO5" s="16" t="s">
        <v>93</v>
      </c>
      <c r="GP5" s="16" t="s">
        <v>93</v>
      </c>
      <c r="GQ5" s="16" t="s">
        <v>93</v>
      </c>
      <c r="GR5" s="16" t="s">
        <v>93</v>
      </c>
      <c r="GS5" s="16" t="s">
        <v>93</v>
      </c>
      <c r="GT5" s="16" t="s">
        <v>93</v>
      </c>
      <c r="GU5" s="16" t="s">
        <v>93</v>
      </c>
      <c r="GV5" s="16" t="s">
        <v>93</v>
      </c>
      <c r="GW5" s="16" t="s">
        <v>93</v>
      </c>
      <c r="GX5" s="16" t="s">
        <v>93</v>
      </c>
      <c r="GY5" s="16" t="s">
        <v>93</v>
      </c>
      <c r="GZ5" s="16" t="s">
        <v>93</v>
      </c>
      <c r="HA5" s="16" t="s">
        <v>93</v>
      </c>
      <c r="HB5" s="16" t="s">
        <v>93</v>
      </c>
      <c r="HC5" s="16" t="s">
        <v>93</v>
      </c>
      <c r="HD5" s="16" t="s">
        <v>93</v>
      </c>
      <c r="HE5" s="16" t="s">
        <v>93</v>
      </c>
      <c r="HF5" s="16" t="s">
        <v>93</v>
      </c>
      <c r="HG5" s="16" t="s">
        <v>93</v>
      </c>
      <c r="HH5" s="16" t="s">
        <v>93</v>
      </c>
      <c r="HI5" s="16" t="s">
        <v>93</v>
      </c>
      <c r="HJ5" s="16" t="s">
        <v>93</v>
      </c>
      <c r="HK5" s="16" t="s">
        <v>93</v>
      </c>
      <c r="HL5" s="16" t="s">
        <v>93</v>
      </c>
      <c r="HM5" s="16" t="s">
        <v>93</v>
      </c>
      <c r="HN5" s="16" t="s">
        <v>93</v>
      </c>
      <c r="HO5" s="16" t="s">
        <v>93</v>
      </c>
      <c r="HP5" s="16" t="s">
        <v>93</v>
      </c>
      <c r="HQ5" s="16" t="s">
        <v>93</v>
      </c>
      <c r="HR5" s="16" t="s">
        <v>93</v>
      </c>
      <c r="HS5" s="16" t="s">
        <v>93</v>
      </c>
      <c r="HT5" s="16" t="s">
        <v>93</v>
      </c>
      <c r="HU5" s="16" t="s">
        <v>93</v>
      </c>
      <c r="HV5" s="16" t="s">
        <v>93</v>
      </c>
      <c r="HW5" s="16" t="s">
        <v>93</v>
      </c>
      <c r="HX5" s="16" t="s">
        <v>93</v>
      </c>
      <c r="HY5" s="16" t="s">
        <v>93</v>
      </c>
      <c r="HZ5" s="16" t="s">
        <v>93</v>
      </c>
      <c r="IA5" s="16" t="s">
        <v>93</v>
      </c>
      <c r="IB5" s="16" t="s">
        <v>93</v>
      </c>
      <c r="IC5" s="16" t="s">
        <v>93</v>
      </c>
      <c r="ID5" s="16" t="s">
        <v>93</v>
      </c>
      <c r="IE5" s="16" t="s">
        <v>93</v>
      </c>
      <c r="IF5" s="16" t="s">
        <v>93</v>
      </c>
      <c r="IG5" s="16" t="s">
        <v>93</v>
      </c>
      <c r="IH5" s="16" t="s">
        <v>93</v>
      </c>
      <c r="II5" s="16" t="s">
        <v>93</v>
      </c>
      <c r="IJ5" s="16" t="s">
        <v>93</v>
      </c>
      <c r="IK5" s="16" t="s">
        <v>93</v>
      </c>
      <c r="IL5" s="16" t="s">
        <v>93</v>
      </c>
      <c r="IM5" s="16" t="s">
        <v>93</v>
      </c>
      <c r="IN5" s="16" t="s">
        <v>93</v>
      </c>
      <c r="IO5" s="16" t="s">
        <v>93</v>
      </c>
      <c r="IP5" s="16" t="s">
        <v>93</v>
      </c>
      <c r="IQ5" s="16" t="s">
        <v>93</v>
      </c>
      <c r="IR5" s="16" t="s">
        <v>93</v>
      </c>
      <c r="IS5" s="16" t="s">
        <v>93</v>
      </c>
      <c r="IT5" s="16" t="s">
        <v>93</v>
      </c>
      <c r="IU5" s="16" t="s">
        <v>93</v>
      </c>
      <c r="IV5" s="16" t="s">
        <v>93</v>
      </c>
    </row>
    <row r="6" spans="4:11" ht="18.75">
      <c r="D6" s="16"/>
      <c r="E6" s="16"/>
      <c r="F6" s="16"/>
      <c r="G6" s="156"/>
      <c r="H6" s="7"/>
      <c r="I6" s="22"/>
      <c r="K6" s="16"/>
    </row>
    <row r="7" spans="1:14" s="29" customFormat="1" ht="31.5" customHeight="1">
      <c r="A7" s="25"/>
      <c r="B7" s="532" t="s">
        <v>124</v>
      </c>
      <c r="C7" s="532"/>
      <c r="D7" s="532"/>
      <c r="E7" s="532"/>
      <c r="F7" s="532"/>
      <c r="G7" s="532"/>
      <c r="H7" s="532"/>
      <c r="I7" s="532"/>
      <c r="J7" s="532"/>
      <c r="K7" s="26"/>
      <c r="L7" s="157"/>
      <c r="M7" s="157"/>
      <c r="N7" s="157"/>
    </row>
    <row r="8" spans="1:14" s="29" customFormat="1" ht="21" customHeight="1">
      <c r="A8" s="158"/>
      <c r="B8" s="572" t="s">
        <v>95</v>
      </c>
      <c r="C8" s="572"/>
      <c r="D8" s="572"/>
      <c r="E8" s="572"/>
      <c r="F8" s="572"/>
      <c r="G8" s="572"/>
      <c r="H8" s="572"/>
      <c r="I8" s="572"/>
      <c r="J8" s="572"/>
      <c r="K8" s="159"/>
      <c r="L8" s="160"/>
      <c r="M8" s="161"/>
      <c r="N8" s="161"/>
    </row>
    <row r="9" spans="1:12" ht="41.25" customHeight="1">
      <c r="A9" s="162"/>
      <c r="B9" s="573" t="s">
        <v>125</v>
      </c>
      <c r="C9" s="573"/>
      <c r="D9" s="573"/>
      <c r="E9" s="573"/>
      <c r="F9" s="573"/>
      <c r="G9" s="573"/>
      <c r="H9" s="573"/>
      <c r="I9" s="573"/>
      <c r="J9" s="573"/>
      <c r="K9" s="163"/>
      <c r="L9" s="37"/>
    </row>
    <row r="10" spans="1:15" ht="21" customHeight="1" thickBot="1">
      <c r="A10" s="42"/>
      <c r="B10" s="574" t="s">
        <v>126</v>
      </c>
      <c r="C10" s="574"/>
      <c r="D10" s="574"/>
      <c r="E10" s="574"/>
      <c r="F10" s="574"/>
      <c r="G10" s="574"/>
      <c r="H10" s="574"/>
      <c r="I10" s="574"/>
      <c r="J10" s="574"/>
      <c r="K10" s="39"/>
      <c r="L10" s="164"/>
      <c r="M10" s="535"/>
      <c r="N10" s="535"/>
      <c r="O10" s="165"/>
    </row>
    <row r="11" spans="1:15" ht="30" customHeight="1" thickBot="1">
      <c r="A11" s="91"/>
      <c r="B11" s="536" t="s">
        <v>1</v>
      </c>
      <c r="C11" s="536" t="s">
        <v>2</v>
      </c>
      <c r="D11" s="536" t="s">
        <v>39</v>
      </c>
      <c r="E11" s="166" t="s">
        <v>98</v>
      </c>
      <c r="F11" s="538" t="s">
        <v>99</v>
      </c>
      <c r="G11" s="539"/>
      <c r="H11" s="539"/>
      <c r="I11" s="539"/>
      <c r="J11" s="575"/>
      <c r="K11" s="44"/>
      <c r="L11" s="45"/>
      <c r="M11" s="45"/>
      <c r="N11" s="45"/>
      <c r="O11" s="45"/>
    </row>
    <row r="12" spans="1:15" ht="23.25" customHeight="1" thickBot="1">
      <c r="A12" s="91"/>
      <c r="B12" s="537"/>
      <c r="C12" s="537"/>
      <c r="D12" s="537"/>
      <c r="E12" s="576" t="s">
        <v>100</v>
      </c>
      <c r="F12" s="577"/>
      <c r="G12" s="561" t="s">
        <v>101</v>
      </c>
      <c r="H12" s="562"/>
      <c r="I12" s="563" t="s">
        <v>102</v>
      </c>
      <c r="J12" s="564"/>
      <c r="K12" s="47"/>
      <c r="L12" s="48"/>
      <c r="M12" s="48"/>
      <c r="N12" s="48"/>
      <c r="O12" s="48"/>
    </row>
    <row r="13" spans="1:15" ht="23.25" customHeight="1" hidden="1" thickBot="1">
      <c r="A13" s="4"/>
      <c r="B13" s="167"/>
      <c r="C13" s="167"/>
      <c r="D13" s="167"/>
      <c r="E13" s="565"/>
      <c r="F13" s="565"/>
      <c r="G13" s="565"/>
      <c r="H13" s="565"/>
      <c r="I13" s="565"/>
      <c r="J13" s="566"/>
      <c r="K13" s="5"/>
      <c r="L13" s="567"/>
      <c r="M13" s="567"/>
      <c r="N13" s="567"/>
      <c r="O13" s="567"/>
    </row>
    <row r="14" spans="1:15" ht="16.5" customHeight="1" thickBot="1">
      <c r="A14" s="4"/>
      <c r="B14" s="568" t="s">
        <v>103</v>
      </c>
      <c r="C14" s="569"/>
      <c r="D14" s="569"/>
      <c r="E14" s="569"/>
      <c r="F14" s="569"/>
      <c r="G14" s="569"/>
      <c r="H14" s="569"/>
      <c r="I14" s="569"/>
      <c r="J14" s="570"/>
      <c r="K14" s="5"/>
      <c r="L14" s="168"/>
      <c r="M14" s="168"/>
      <c r="N14" s="168"/>
      <c r="O14" s="168"/>
    </row>
    <row r="15" spans="1:15" ht="16.5" customHeight="1" thickBot="1">
      <c r="A15" s="4"/>
      <c r="B15" s="571" t="s">
        <v>127</v>
      </c>
      <c r="C15" s="571"/>
      <c r="D15" s="571"/>
      <c r="E15" s="571"/>
      <c r="F15" s="571"/>
      <c r="G15" s="571"/>
      <c r="H15" s="571"/>
      <c r="I15" s="571"/>
      <c r="J15" s="571"/>
      <c r="K15" s="5"/>
      <c r="L15" s="168"/>
      <c r="M15" s="168"/>
      <c r="N15" s="168"/>
      <c r="O15" s="168"/>
    </row>
    <row r="16" spans="1:15" ht="19.5" thickBot="1">
      <c r="A16" s="4"/>
      <c r="B16" s="526" t="s">
        <v>30</v>
      </c>
      <c r="C16" s="529" t="s">
        <v>3</v>
      </c>
      <c r="D16" s="169">
        <v>1</v>
      </c>
      <c r="E16" s="170">
        <f>ROUND(E17*1.2/10,100)*10</f>
        <v>228000</v>
      </c>
      <c r="F16" s="171">
        <f>23.37*1.025*1.025</f>
        <v>24.553106249999995</v>
      </c>
      <c r="G16" s="172">
        <f>ROUND(G17*1.2/10,100)*10</f>
        <v>366000</v>
      </c>
      <c r="H16" s="120">
        <f>37.52*1.025</f>
        <v>38.458</v>
      </c>
      <c r="I16" s="172">
        <f>ROUND(I17*1.2/10,100)*10</f>
        <v>456000</v>
      </c>
      <c r="J16" s="120">
        <f>46.74*1.025</f>
        <v>47.9085</v>
      </c>
      <c r="K16" s="59"/>
      <c r="L16" s="60"/>
      <c r="M16" s="60"/>
      <c r="N16" s="60"/>
      <c r="O16" s="60"/>
    </row>
    <row r="17" spans="1:15" ht="19.5" thickBot="1">
      <c r="A17" s="4"/>
      <c r="B17" s="527"/>
      <c r="C17" s="530"/>
      <c r="D17" s="173">
        <v>2</v>
      </c>
      <c r="E17" s="64">
        <v>190000</v>
      </c>
      <c r="F17" s="174">
        <f>19.48*1.025*1.025</f>
        <v>20.466174999999996</v>
      </c>
      <c r="G17" s="87">
        <v>305000</v>
      </c>
      <c r="H17" s="58">
        <f>31.26*1.025</f>
        <v>32.0415</v>
      </c>
      <c r="I17" s="87">
        <v>380000</v>
      </c>
      <c r="J17" s="58">
        <f>38.95*1.025</f>
        <v>39.92375</v>
      </c>
      <c r="K17" s="66"/>
      <c r="L17" s="60"/>
      <c r="M17" s="60"/>
      <c r="N17" s="60"/>
      <c r="O17" s="60"/>
    </row>
    <row r="18" spans="1:15" ht="19.5" thickBot="1">
      <c r="A18" s="4"/>
      <c r="B18" s="527"/>
      <c r="C18" s="531"/>
      <c r="D18" s="126">
        <v>3</v>
      </c>
      <c r="E18" s="84">
        <f>ROUND(E17*0.8/10,100)*10</f>
        <v>152000</v>
      </c>
      <c r="F18" s="175">
        <f>15.58*1.025*1.025</f>
        <v>16.368737499999998</v>
      </c>
      <c r="G18" s="128">
        <f>ROUND(G17*0.8/10,100)*10</f>
        <v>244000</v>
      </c>
      <c r="H18" s="122">
        <f>25.01*1.025</f>
        <v>25.63525</v>
      </c>
      <c r="I18" s="128">
        <f>ROUND(I17*0.8/10,100)*10</f>
        <v>304000</v>
      </c>
      <c r="J18" s="122">
        <f>31.16*1.025</f>
        <v>31.938999999999997</v>
      </c>
      <c r="K18" s="59"/>
      <c r="L18" s="60"/>
      <c r="M18" s="60"/>
      <c r="N18" s="60"/>
      <c r="O18" s="60"/>
    </row>
    <row r="19" spans="1:15" ht="19.5" thickBot="1">
      <c r="A19" s="4"/>
      <c r="B19" s="527"/>
      <c r="C19" s="529" t="s">
        <v>20</v>
      </c>
      <c r="D19" s="173">
        <v>1</v>
      </c>
      <c r="E19" s="56">
        <f>ROUND(E20*1.2/10,100)*10</f>
        <v>258000</v>
      </c>
      <c r="F19" s="174">
        <f>26.45*1.025*1.025</f>
        <v>27.789031249999997</v>
      </c>
      <c r="G19" s="87">
        <f>ROUND(G20*1.2/10,100)*10</f>
        <v>390000</v>
      </c>
      <c r="H19" s="58">
        <f>39.98*1.025</f>
        <v>40.979499999999994</v>
      </c>
      <c r="I19" s="87">
        <f>ROUND(I20*1.2/10,100)*10</f>
        <v>510000</v>
      </c>
      <c r="J19" s="58">
        <f>52.28*1.025</f>
        <v>53.586999999999996</v>
      </c>
      <c r="K19" s="59"/>
      <c r="L19" s="60"/>
      <c r="M19" s="60"/>
      <c r="N19" s="60"/>
      <c r="O19" s="60"/>
    </row>
    <row r="20" spans="1:15" ht="19.5" thickBot="1">
      <c r="A20" s="4"/>
      <c r="B20" s="527"/>
      <c r="C20" s="530"/>
      <c r="D20" s="75">
        <v>2</v>
      </c>
      <c r="E20" s="176">
        <v>215000</v>
      </c>
      <c r="F20" s="174">
        <f>22.04*1.025*1.025</f>
        <v>23.155774999999995</v>
      </c>
      <c r="G20" s="87">
        <v>325000</v>
      </c>
      <c r="H20" s="58">
        <f>33.31*1.025</f>
        <v>34.14275</v>
      </c>
      <c r="I20" s="87">
        <v>425000</v>
      </c>
      <c r="J20" s="58">
        <f>43.56*1.025</f>
        <v>44.649</v>
      </c>
      <c r="K20" s="66"/>
      <c r="L20" s="60"/>
      <c r="M20" s="60"/>
      <c r="N20" s="60"/>
      <c r="O20" s="60"/>
    </row>
    <row r="21" spans="1:15" ht="19.5" thickBot="1">
      <c r="A21" s="4"/>
      <c r="B21" s="527"/>
      <c r="C21" s="531"/>
      <c r="D21" s="53">
        <v>3</v>
      </c>
      <c r="E21" s="177">
        <f>ROUND(E20*0.8/10,100)*10</f>
        <v>172000</v>
      </c>
      <c r="F21" s="178">
        <f>17.63*1.025*1.025</f>
        <v>18.522518749999996</v>
      </c>
      <c r="G21" s="73">
        <f>ROUND(G20*0.8/10,100)*10</f>
        <v>260000</v>
      </c>
      <c r="H21" s="74">
        <f>26.65*1.025</f>
        <v>27.316249999999997</v>
      </c>
      <c r="I21" s="73">
        <f>ROUND(I20*0.8/10,100)*10</f>
        <v>340000</v>
      </c>
      <c r="J21" s="74">
        <f>34.85*1.025</f>
        <v>35.72125</v>
      </c>
      <c r="K21" s="59"/>
      <c r="L21" s="60"/>
      <c r="M21" s="60"/>
      <c r="N21" s="60"/>
      <c r="O21" s="60"/>
    </row>
    <row r="22" spans="1:15" ht="19.5" thickBot="1">
      <c r="A22" s="4"/>
      <c r="B22" s="527"/>
      <c r="C22" s="530" t="s">
        <v>6</v>
      </c>
      <c r="D22" s="53">
        <v>1</v>
      </c>
      <c r="E22" s="54">
        <f>ROUND(E23*1.2/10,100)*10</f>
        <v>300000</v>
      </c>
      <c r="F22" s="124">
        <f>30.75*1.025*1.025</f>
        <v>32.306718749999995</v>
      </c>
      <c r="G22" s="87">
        <f>ROUND(G23*1.2/10,100)*10</f>
        <v>438000</v>
      </c>
      <c r="H22" s="58">
        <f>44.9*1.025</f>
        <v>46.022499999999994</v>
      </c>
      <c r="I22" s="87">
        <f>ROUND(I23*1.2/10,100)*10</f>
        <v>564000</v>
      </c>
      <c r="J22" s="58">
        <f>57.81*1.025</f>
        <v>59.25525</v>
      </c>
      <c r="K22" s="59"/>
      <c r="L22" s="60"/>
      <c r="M22" s="60"/>
      <c r="N22" s="60"/>
      <c r="O22" s="60"/>
    </row>
    <row r="23" spans="1:15" ht="19.5" thickBot="1">
      <c r="A23" s="4"/>
      <c r="B23" s="527"/>
      <c r="C23" s="530"/>
      <c r="D23" s="53">
        <v>2</v>
      </c>
      <c r="E23" s="179">
        <v>250000</v>
      </c>
      <c r="F23" s="178">
        <f>25.63*1.025*1.025</f>
        <v>26.927518749999994</v>
      </c>
      <c r="G23" s="73">
        <v>365000</v>
      </c>
      <c r="H23" s="74">
        <f>37.41*1.025</f>
        <v>38.34524999999999</v>
      </c>
      <c r="I23" s="73">
        <v>470000</v>
      </c>
      <c r="J23" s="74">
        <f>48.18*1.025</f>
        <v>49.384499999999996</v>
      </c>
      <c r="K23" s="66"/>
      <c r="L23" s="60"/>
      <c r="M23" s="60"/>
      <c r="N23" s="60"/>
      <c r="O23" s="60"/>
    </row>
    <row r="24" spans="1:15" ht="19.5" thickBot="1">
      <c r="A24" s="4"/>
      <c r="B24" s="528"/>
      <c r="C24" s="531"/>
      <c r="D24" s="89">
        <v>3</v>
      </c>
      <c r="E24" s="180">
        <f>ROUND(E23*0.8/10,100)*10</f>
        <v>200000</v>
      </c>
      <c r="F24" s="174">
        <f>20.5*1.025*1.025</f>
        <v>21.537812499999998</v>
      </c>
      <c r="G24" s="181">
        <f>ROUND(G23*0.8/10,100)*10</f>
        <v>292000</v>
      </c>
      <c r="H24" s="58">
        <f>29.93*1.025</f>
        <v>30.67825</v>
      </c>
      <c r="I24" s="181">
        <f>ROUND(I23*0.8/10,100)*10</f>
        <v>376000</v>
      </c>
      <c r="J24" s="58">
        <f>38.54*1.025</f>
        <v>39.503499999999995</v>
      </c>
      <c r="K24" s="182"/>
      <c r="L24" s="60"/>
      <c r="M24" s="60"/>
      <c r="N24" s="60"/>
      <c r="O24" s="60"/>
    </row>
    <row r="25" spans="1:15" ht="16.5" thickBot="1">
      <c r="A25" s="91"/>
      <c r="B25" s="544" t="s">
        <v>12</v>
      </c>
      <c r="C25" s="544"/>
      <c r="D25" s="544"/>
      <c r="E25" s="544"/>
      <c r="F25" s="544"/>
      <c r="G25" s="544"/>
      <c r="H25" s="544"/>
      <c r="I25" s="544"/>
      <c r="J25" s="544"/>
      <c r="K25" s="92"/>
      <c r="L25" s="118"/>
      <c r="M25" s="118"/>
      <c r="N25" s="118"/>
      <c r="O25" s="118"/>
    </row>
    <row r="26" spans="1:15" ht="19.5" thickBot="1">
      <c r="A26" s="4"/>
      <c r="B26" s="526" t="s">
        <v>30</v>
      </c>
      <c r="C26" s="507" t="s">
        <v>3</v>
      </c>
      <c r="D26" s="53">
        <v>1</v>
      </c>
      <c r="E26" s="87">
        <f>ROUND(E27*1.2/10,100)*10</f>
        <v>180000</v>
      </c>
      <c r="F26" s="55">
        <f>1.025*18.45</f>
        <v>18.91125</v>
      </c>
      <c r="G26" s="64">
        <f>ROUND(G27*1.2/10,100)*10</f>
        <v>318000</v>
      </c>
      <c r="H26" s="65">
        <f>1.025*32.6</f>
        <v>33.415</v>
      </c>
      <c r="I26" s="64">
        <f>ROUND(I27*1.2/10,100)*10</f>
        <v>420000</v>
      </c>
      <c r="J26" s="57">
        <f>1.025*43.05</f>
        <v>44.12624999999999</v>
      </c>
      <c r="K26" s="59"/>
      <c r="L26" s="60"/>
      <c r="M26" s="60"/>
      <c r="N26" s="60"/>
      <c r="O26" s="60"/>
    </row>
    <row r="27" spans="1:15" ht="19.5" thickBot="1">
      <c r="A27" s="4"/>
      <c r="B27" s="527"/>
      <c r="C27" s="512"/>
      <c r="D27" s="53">
        <v>2</v>
      </c>
      <c r="E27" s="87">
        <v>150000</v>
      </c>
      <c r="F27" s="55">
        <f>1.025*15.38</f>
        <v>15.7645</v>
      </c>
      <c r="G27" s="64">
        <v>265000</v>
      </c>
      <c r="H27" s="65">
        <f>1.025*27.16</f>
        <v>27.839</v>
      </c>
      <c r="I27" s="64">
        <v>350000</v>
      </c>
      <c r="J27" s="57">
        <f>1.025*35.88</f>
        <v>36.777</v>
      </c>
      <c r="K27" s="66"/>
      <c r="L27" s="60"/>
      <c r="M27" s="60"/>
      <c r="N27" s="60"/>
      <c r="O27" s="60"/>
    </row>
    <row r="28" spans="1:15" ht="19.5" thickBot="1">
      <c r="A28" s="4"/>
      <c r="B28" s="527"/>
      <c r="C28" s="512"/>
      <c r="D28" s="86">
        <v>3</v>
      </c>
      <c r="E28" s="179">
        <f>ROUND(E27*0.8/10,100)*10</f>
        <v>120000</v>
      </c>
      <c r="F28" s="55">
        <f>1.025*12.3</f>
        <v>12.6075</v>
      </c>
      <c r="G28" s="64">
        <f>ROUND(G27*0.8/10,100)*10</f>
        <v>212000</v>
      </c>
      <c r="H28" s="65">
        <f>1.025*21.73</f>
        <v>22.273249999999997</v>
      </c>
      <c r="I28" s="64">
        <f>ROUND(I27*0.8/10,100)*10</f>
        <v>280000</v>
      </c>
      <c r="J28" s="57">
        <f>1.025*28.7</f>
        <v>29.417499999999997</v>
      </c>
      <c r="K28" s="59"/>
      <c r="L28" s="60"/>
      <c r="M28" s="60"/>
      <c r="N28" s="60"/>
      <c r="O28" s="60"/>
    </row>
    <row r="29" spans="1:15" ht="19.5" thickBot="1">
      <c r="A29" s="4"/>
      <c r="B29" s="527"/>
      <c r="C29" s="558" t="s">
        <v>13</v>
      </c>
      <c r="D29" s="53">
        <v>1</v>
      </c>
      <c r="E29" s="183">
        <f>ROUND(E30*1.2/10,100)*10</f>
        <v>204000</v>
      </c>
      <c r="F29" s="81">
        <f>1.025*20.91</f>
        <v>21.43275</v>
      </c>
      <c r="G29" s="127">
        <f>ROUND(G30*1.2/10,100)*10</f>
        <v>342000</v>
      </c>
      <c r="H29" s="83">
        <f>1.025*35.06</f>
        <v>35.9365</v>
      </c>
      <c r="I29" s="127">
        <f>ROUND(I30*1.2/10,100)*10</f>
        <v>444000</v>
      </c>
      <c r="J29" s="85">
        <f>1.025*45.51</f>
        <v>46.647749999999995</v>
      </c>
      <c r="K29" s="59"/>
      <c r="L29" s="60"/>
      <c r="M29" s="60"/>
      <c r="N29" s="60"/>
      <c r="O29" s="60"/>
    </row>
    <row r="30" spans="1:15" ht="19.5" thickBot="1">
      <c r="A30" s="4"/>
      <c r="B30" s="527"/>
      <c r="C30" s="560"/>
      <c r="D30" s="53">
        <v>2</v>
      </c>
      <c r="E30" s="87">
        <v>170000</v>
      </c>
      <c r="F30" s="55">
        <f>1.025*17.43</f>
        <v>17.86575</v>
      </c>
      <c r="G30" s="64">
        <v>285000</v>
      </c>
      <c r="H30" s="65">
        <f>1.025*29.21</f>
        <v>29.94025</v>
      </c>
      <c r="I30" s="64">
        <v>370000</v>
      </c>
      <c r="J30" s="57">
        <f>1.025*37.93</f>
        <v>38.878249999999994</v>
      </c>
      <c r="K30" s="66"/>
      <c r="L30" s="60"/>
      <c r="M30" s="60"/>
      <c r="N30" s="60"/>
      <c r="O30" s="60"/>
    </row>
    <row r="31" spans="1:15" ht="19.5" thickBot="1">
      <c r="A31" s="4"/>
      <c r="B31" s="528"/>
      <c r="C31" s="559"/>
      <c r="D31" s="89">
        <v>3</v>
      </c>
      <c r="E31" s="128">
        <f>ROUND(E30*0.8/10,100)*10</f>
        <v>136000</v>
      </c>
      <c r="F31" s="81">
        <f>1.025*13.94</f>
        <v>14.288499999999999</v>
      </c>
      <c r="G31" s="127">
        <f>ROUND(G30*0.8/10,100)*10</f>
        <v>228000</v>
      </c>
      <c r="H31" s="83">
        <f>1.025*23.37</f>
        <v>23.95425</v>
      </c>
      <c r="I31" s="127">
        <f>ROUND(I30*0.8/10,100)*10</f>
        <v>296000</v>
      </c>
      <c r="J31" s="85">
        <f>1.025*30.34</f>
        <v>31.098499999999998</v>
      </c>
      <c r="K31" s="59"/>
      <c r="L31" s="60"/>
      <c r="M31" s="60"/>
      <c r="N31" s="60"/>
      <c r="O31" s="60"/>
    </row>
    <row r="32" spans="1:15" ht="19.5">
      <c r="A32" s="91"/>
      <c r="B32" s="555" t="s">
        <v>128</v>
      </c>
      <c r="C32" s="555"/>
      <c r="D32" s="555"/>
      <c r="E32" s="555"/>
      <c r="F32" s="555"/>
      <c r="G32" s="555"/>
      <c r="H32" s="555"/>
      <c r="I32" s="555"/>
      <c r="J32" s="555"/>
      <c r="K32" s="92"/>
      <c r="L32" s="118"/>
      <c r="M32" s="118"/>
      <c r="N32" s="118"/>
      <c r="O32" s="118"/>
    </row>
    <row r="33" spans="1:15" ht="16.5" thickBot="1">
      <c r="A33" s="91"/>
      <c r="B33" s="492" t="s">
        <v>129</v>
      </c>
      <c r="C33" s="492"/>
      <c r="D33" s="492"/>
      <c r="E33" s="492"/>
      <c r="F33" s="492"/>
      <c r="G33" s="492"/>
      <c r="H33" s="492"/>
      <c r="I33" s="492"/>
      <c r="J33" s="492"/>
      <c r="K33" s="92"/>
      <c r="L33" s="118"/>
      <c r="M33" s="118"/>
      <c r="N33" s="118"/>
      <c r="O33" s="118"/>
    </row>
    <row r="34" spans="1:15" ht="19.5" thickBot="1">
      <c r="A34" s="184"/>
      <c r="B34" s="556" t="s">
        <v>32</v>
      </c>
      <c r="C34" s="558" t="s">
        <v>14</v>
      </c>
      <c r="D34" s="75" t="s">
        <v>107</v>
      </c>
      <c r="E34" s="172">
        <f>ROUND(E35*1.2/10,100)*10</f>
        <v>510000</v>
      </c>
      <c r="F34" s="95">
        <f>1.025*52.28</f>
        <v>53.586999999999996</v>
      </c>
      <c r="G34" s="134">
        <f>ROUND(G35*1.2/10,100)*10</f>
        <v>630000</v>
      </c>
      <c r="H34" s="185">
        <f>1.025*64.58</f>
        <v>66.19449999999999</v>
      </c>
      <c r="I34" s="134">
        <f>ROUND(I35*1.2/10,100)*10</f>
        <v>750000</v>
      </c>
      <c r="J34" s="97">
        <f>1.025*76.88</f>
        <v>78.80199999999999</v>
      </c>
      <c r="K34" s="59"/>
      <c r="L34" s="60"/>
      <c r="M34" s="60"/>
      <c r="N34" s="60"/>
      <c r="O34" s="60"/>
    </row>
    <row r="35" spans="1:15" ht="19.5" thickBot="1">
      <c r="A35" s="184"/>
      <c r="B35" s="557"/>
      <c r="C35" s="559"/>
      <c r="D35" s="53" t="s">
        <v>108</v>
      </c>
      <c r="E35" s="87">
        <v>425000</v>
      </c>
      <c r="F35" s="55">
        <f>1.025*43.56</f>
        <v>44.649</v>
      </c>
      <c r="G35" s="64">
        <v>525000</v>
      </c>
      <c r="H35" s="65">
        <f>1.025*53.81</f>
        <v>55.155249999999995</v>
      </c>
      <c r="I35" s="64">
        <v>625000</v>
      </c>
      <c r="J35" s="57">
        <f>1.025*64.06</f>
        <v>65.66149999999999</v>
      </c>
      <c r="K35" s="66"/>
      <c r="L35" s="60"/>
      <c r="M35" s="60"/>
      <c r="N35" s="60"/>
      <c r="O35" s="60"/>
    </row>
    <row r="36" spans="1:15" ht="16.5" thickBot="1">
      <c r="A36" s="91"/>
      <c r="B36" s="544" t="s">
        <v>130</v>
      </c>
      <c r="C36" s="544"/>
      <c r="D36" s="544"/>
      <c r="E36" s="544"/>
      <c r="F36" s="544"/>
      <c r="G36" s="544"/>
      <c r="H36" s="544"/>
      <c r="I36" s="544"/>
      <c r="J36" s="544"/>
      <c r="K36" s="92"/>
      <c r="L36" s="118"/>
      <c r="M36" s="118"/>
      <c r="N36" s="118"/>
      <c r="O36" s="118"/>
    </row>
    <row r="37" spans="1:15" ht="15" customHeight="1" thickBot="1">
      <c r="A37" s="4"/>
      <c r="B37" s="548" t="s">
        <v>131</v>
      </c>
      <c r="C37" s="529" t="s">
        <v>15</v>
      </c>
      <c r="D37" s="169" t="s">
        <v>107</v>
      </c>
      <c r="E37" s="79">
        <f>ROUND(E38*1.2/10,100)*10</f>
        <v>426000</v>
      </c>
      <c r="F37" s="65">
        <f>1.025*43.67</f>
        <v>44.76175</v>
      </c>
      <c r="G37" s="64">
        <f>ROUND(G38*1.2/10,100)*10</f>
        <v>594000</v>
      </c>
      <c r="H37" s="65">
        <f>1.025*60.89</f>
        <v>62.41224999999999</v>
      </c>
      <c r="I37" s="64">
        <f>ROUND(I38*1.2/10,100)*10</f>
        <v>726000</v>
      </c>
      <c r="J37" s="57">
        <f>1.025*74.42</f>
        <v>76.28049999999999</v>
      </c>
      <c r="K37" s="59"/>
      <c r="L37" s="60"/>
      <c r="M37" s="60"/>
      <c r="N37" s="60"/>
      <c r="O37" s="60"/>
    </row>
    <row r="38" spans="1:15" ht="19.5" thickBot="1">
      <c r="A38" s="4"/>
      <c r="B38" s="549"/>
      <c r="C38" s="530"/>
      <c r="D38" s="63" t="s">
        <v>108</v>
      </c>
      <c r="E38" s="186">
        <v>355000</v>
      </c>
      <c r="F38" s="83">
        <f>1.025*36.39</f>
        <v>37.299749999999996</v>
      </c>
      <c r="G38" s="127">
        <v>495000</v>
      </c>
      <c r="H38" s="83">
        <f>1.025*50.74</f>
        <v>52.0085</v>
      </c>
      <c r="I38" s="127">
        <v>605000</v>
      </c>
      <c r="J38" s="85">
        <f>1.025*62.01</f>
        <v>63.56024999999999</v>
      </c>
      <c r="K38" s="66"/>
      <c r="L38" s="60"/>
      <c r="M38" s="60"/>
      <c r="N38" s="60"/>
      <c r="O38" s="60"/>
    </row>
    <row r="39" spans="1:15" ht="19.5" thickBot="1">
      <c r="A39" s="4"/>
      <c r="B39" s="549"/>
      <c r="C39" s="529" t="s">
        <v>6</v>
      </c>
      <c r="D39" s="63" t="s">
        <v>107</v>
      </c>
      <c r="E39" s="64">
        <f>ROUND(E40*1.2/10,100)*10</f>
        <v>474000</v>
      </c>
      <c r="F39" s="65">
        <f>1.025*48.59</f>
        <v>49.80475</v>
      </c>
      <c r="G39" s="64">
        <f>ROUND(G40*1.2/10,100)*10</f>
        <v>648000</v>
      </c>
      <c r="H39" s="65">
        <f>1.025*66.42</f>
        <v>68.0805</v>
      </c>
      <c r="I39" s="64">
        <f>ROUND(I40*1.2/10,100)*10</f>
        <v>786000</v>
      </c>
      <c r="J39" s="57">
        <f>1.025*80.57</f>
        <v>82.58424999999998</v>
      </c>
      <c r="K39" s="59"/>
      <c r="L39" s="60"/>
      <c r="M39" s="60"/>
      <c r="N39" s="60"/>
      <c r="O39" s="60"/>
    </row>
    <row r="40" spans="1:17" ht="19.5" thickBot="1">
      <c r="A40" s="4"/>
      <c r="B40" s="550"/>
      <c r="C40" s="531"/>
      <c r="D40" s="126" t="s">
        <v>108</v>
      </c>
      <c r="E40" s="127">
        <v>395000</v>
      </c>
      <c r="F40" s="83">
        <f>1.025*40.49</f>
        <v>41.50225</v>
      </c>
      <c r="G40" s="127">
        <v>540000</v>
      </c>
      <c r="H40" s="83">
        <f>1.025*55.35</f>
        <v>56.73374999999999</v>
      </c>
      <c r="I40" s="127">
        <v>655000</v>
      </c>
      <c r="J40" s="85">
        <f>1.025*67.14</f>
        <v>68.8185</v>
      </c>
      <c r="K40" s="66"/>
      <c r="L40" s="60"/>
      <c r="M40" s="60"/>
      <c r="N40" s="60"/>
      <c r="O40" s="60"/>
      <c r="Q40" s="149"/>
    </row>
    <row r="41" spans="1:15" ht="16.5" thickBot="1">
      <c r="A41" s="91"/>
      <c r="B41" s="544" t="s">
        <v>16</v>
      </c>
      <c r="C41" s="544"/>
      <c r="D41" s="544"/>
      <c r="E41" s="544"/>
      <c r="F41" s="544"/>
      <c r="G41" s="544"/>
      <c r="H41" s="544"/>
      <c r="I41" s="544"/>
      <c r="J41" s="544"/>
      <c r="K41" s="92"/>
      <c r="L41" s="118"/>
      <c r="M41" s="118"/>
      <c r="N41" s="118"/>
      <c r="O41" s="118"/>
    </row>
    <row r="42" spans="1:15" ht="19.5" thickBot="1">
      <c r="A42" s="4"/>
      <c r="B42" s="548" t="s">
        <v>131</v>
      </c>
      <c r="C42" s="507" t="s">
        <v>15</v>
      </c>
      <c r="D42" s="53" t="s">
        <v>107</v>
      </c>
      <c r="E42" s="87">
        <f>ROUND(E43*1.2/10,100)*10</f>
        <v>246000</v>
      </c>
      <c r="F42" s="58">
        <f>1.025*25.22</f>
        <v>25.850499999999997</v>
      </c>
      <c r="G42" s="87">
        <f>ROUND(G43*1.2/10,100)*10</f>
        <v>354000</v>
      </c>
      <c r="H42" s="58">
        <f>1.025*36.29</f>
        <v>37.19725</v>
      </c>
      <c r="I42" s="87">
        <f>ROUND(I43*1.2/10,100)*10</f>
        <v>432000</v>
      </c>
      <c r="J42" s="58">
        <v>46.75</v>
      </c>
      <c r="K42" s="59"/>
      <c r="L42" s="60"/>
      <c r="M42" s="60"/>
      <c r="N42" s="60"/>
      <c r="O42" s="60"/>
    </row>
    <row r="43" spans="1:15" ht="19.5" thickBot="1">
      <c r="A43" s="4"/>
      <c r="B43" s="549"/>
      <c r="C43" s="512"/>
      <c r="D43" s="53" t="s">
        <v>108</v>
      </c>
      <c r="E43" s="87">
        <v>205000</v>
      </c>
      <c r="F43" s="58">
        <f>1.025*21.01</f>
        <v>21.53525</v>
      </c>
      <c r="G43" s="87">
        <v>295000</v>
      </c>
      <c r="H43" s="58">
        <f>1.025*30.24</f>
        <v>30.995999999999995</v>
      </c>
      <c r="I43" s="87">
        <v>360000</v>
      </c>
      <c r="J43" s="58">
        <v>38.95</v>
      </c>
      <c r="K43" s="66"/>
      <c r="L43" s="60"/>
      <c r="M43" s="60"/>
      <c r="N43" s="60"/>
      <c r="O43" s="60"/>
    </row>
    <row r="44" spans="1:15" ht="19.5" thickBot="1">
      <c r="A44" s="4"/>
      <c r="B44" s="549"/>
      <c r="C44" s="507" t="s">
        <v>6</v>
      </c>
      <c r="D44" s="89" t="s">
        <v>107</v>
      </c>
      <c r="E44" s="73">
        <f>ROUND(E45*1.2/10,100)*10</f>
        <v>264000</v>
      </c>
      <c r="F44" s="74">
        <f>1.025*27.06</f>
        <v>27.736499999999996</v>
      </c>
      <c r="G44" s="73">
        <f>ROUND(G45*1.2/10,100)*10</f>
        <v>378000</v>
      </c>
      <c r="H44" s="74">
        <f>1.025*38.75</f>
        <v>39.71875</v>
      </c>
      <c r="I44" s="73">
        <f>ROUND(I45*1.2/10,100)*10</f>
        <v>462000</v>
      </c>
      <c r="J44" s="74">
        <f>1.025*47.36</f>
        <v>48.544</v>
      </c>
      <c r="K44" s="59"/>
      <c r="L44" s="60"/>
      <c r="M44" s="60"/>
      <c r="N44" s="60"/>
      <c r="O44" s="60"/>
    </row>
    <row r="45" spans="1:15" ht="19.5" thickBot="1">
      <c r="A45" s="4"/>
      <c r="B45" s="550"/>
      <c r="C45" s="508"/>
      <c r="D45" s="53" t="s">
        <v>108</v>
      </c>
      <c r="E45" s="87">
        <v>220000</v>
      </c>
      <c r="F45" s="58">
        <f>1.025*22.55</f>
        <v>23.11375</v>
      </c>
      <c r="G45" s="87">
        <v>315000</v>
      </c>
      <c r="H45" s="58">
        <f>1.025*32.29</f>
        <v>33.097249999999995</v>
      </c>
      <c r="I45" s="87">
        <v>385000</v>
      </c>
      <c r="J45" s="58">
        <f>1.025*39.46</f>
        <v>40.4465</v>
      </c>
      <c r="K45" s="66"/>
      <c r="L45" s="60"/>
      <c r="M45" s="60"/>
      <c r="N45" s="60"/>
      <c r="O45" s="60"/>
    </row>
    <row r="46" spans="1:15" ht="16.5" thickBot="1">
      <c r="A46" s="91"/>
      <c r="B46" s="513" t="s">
        <v>132</v>
      </c>
      <c r="C46" s="513"/>
      <c r="D46" s="513"/>
      <c r="E46" s="513"/>
      <c r="F46" s="513"/>
      <c r="G46" s="513"/>
      <c r="H46" s="513"/>
      <c r="I46" s="513"/>
      <c r="J46" s="513"/>
      <c r="K46" s="92"/>
      <c r="L46" s="118"/>
      <c r="M46" s="118"/>
      <c r="N46" s="118"/>
      <c r="O46" s="118"/>
    </row>
    <row r="47" spans="1:15" ht="19.5" thickBot="1">
      <c r="A47" s="4"/>
      <c r="B47" s="548" t="s">
        <v>33</v>
      </c>
      <c r="C47" s="495" t="s">
        <v>15</v>
      </c>
      <c r="D47" s="75" t="s">
        <v>107</v>
      </c>
      <c r="E47" s="172">
        <f>ROUND(E48*1.2/10,100)*10</f>
        <v>246000</v>
      </c>
      <c r="F47" s="120">
        <f>1.025*25.22</f>
        <v>25.850499999999997</v>
      </c>
      <c r="G47" s="172">
        <f>ROUND(G48*1.2/10,100)*10</f>
        <v>384000</v>
      </c>
      <c r="H47" s="120">
        <f>1.025*39.36</f>
        <v>40.343999999999994</v>
      </c>
      <c r="I47" s="172">
        <f>ROUND(I48*1.2/10,100)*10</f>
        <v>432000</v>
      </c>
      <c r="J47" s="120">
        <v>46.75</v>
      </c>
      <c r="K47" s="59"/>
      <c r="L47" s="60"/>
      <c r="M47" s="60"/>
      <c r="N47" s="60"/>
      <c r="O47" s="60"/>
    </row>
    <row r="48" spans="1:15" ht="19.5" thickBot="1">
      <c r="A48" s="4"/>
      <c r="B48" s="549"/>
      <c r="C48" s="496"/>
      <c r="D48" s="53" t="s">
        <v>108</v>
      </c>
      <c r="E48" s="87">
        <v>205000</v>
      </c>
      <c r="F48" s="58">
        <f>1.025*21.01</f>
        <v>21.53525</v>
      </c>
      <c r="G48" s="87">
        <v>320000</v>
      </c>
      <c r="H48" s="58">
        <f>1.025*32.8</f>
        <v>33.62</v>
      </c>
      <c r="I48" s="87">
        <v>360000</v>
      </c>
      <c r="J48" s="58">
        <v>38.95</v>
      </c>
      <c r="K48" s="66"/>
      <c r="L48" s="60"/>
      <c r="M48" s="60"/>
      <c r="N48" s="60"/>
      <c r="O48" s="60"/>
    </row>
    <row r="49" spans="1:15" ht="19.5" thickBot="1">
      <c r="A49" s="4"/>
      <c r="B49" s="549"/>
      <c r="C49" s="495" t="s">
        <v>6</v>
      </c>
      <c r="D49" s="53" t="s">
        <v>107</v>
      </c>
      <c r="E49" s="87">
        <f>ROUND(E50*1.2/10,100)*10</f>
        <v>264000</v>
      </c>
      <c r="F49" s="58">
        <f>1.025*27.06</f>
        <v>27.736499999999996</v>
      </c>
      <c r="G49" s="87">
        <f>ROUND(G50*1.2/10,100)*10</f>
        <v>402000</v>
      </c>
      <c r="H49" s="58">
        <f>1.025*41.21</f>
        <v>42.240249999999996</v>
      </c>
      <c r="I49" s="87">
        <f>ROUND(I50*1.2/10,100)*10</f>
        <v>462000</v>
      </c>
      <c r="J49" s="58">
        <v>50</v>
      </c>
      <c r="K49" s="59"/>
      <c r="L49" s="60"/>
      <c r="M49" s="60"/>
      <c r="N49" s="60"/>
      <c r="O49" s="60"/>
    </row>
    <row r="50" spans="1:15" ht="19.5" thickBot="1">
      <c r="A50" s="4"/>
      <c r="B50" s="550"/>
      <c r="C50" s="496"/>
      <c r="D50" s="89" t="s">
        <v>108</v>
      </c>
      <c r="E50" s="128">
        <v>220000</v>
      </c>
      <c r="F50" s="122">
        <f>1.025*22.55</f>
        <v>23.11375</v>
      </c>
      <c r="G50" s="128">
        <v>335000</v>
      </c>
      <c r="H50" s="122">
        <f>1.025*34.34</f>
        <v>35.1985</v>
      </c>
      <c r="I50" s="128">
        <v>385000</v>
      </c>
      <c r="J50" s="122">
        <v>41.66</v>
      </c>
      <c r="K50" s="66"/>
      <c r="L50" s="60"/>
      <c r="M50" s="60"/>
      <c r="N50" s="60"/>
      <c r="O50" s="60"/>
    </row>
    <row r="51" spans="1:15" ht="18.75">
      <c r="A51" s="116"/>
      <c r="B51" s="129" t="s">
        <v>133</v>
      </c>
      <c r="C51" s="129"/>
      <c r="D51" s="129"/>
      <c r="E51" s="129"/>
      <c r="F51" s="129"/>
      <c r="G51" s="129"/>
      <c r="H51" s="129"/>
      <c r="I51" s="129"/>
      <c r="J51" s="187"/>
      <c r="K51" s="117"/>
      <c r="L51" s="118"/>
      <c r="M51" s="118"/>
      <c r="N51" s="118"/>
      <c r="O51" s="118"/>
    </row>
    <row r="52" spans="1:15" ht="16.5" thickBot="1">
      <c r="A52" s="91"/>
      <c r="B52" s="492" t="s">
        <v>17</v>
      </c>
      <c r="C52" s="492"/>
      <c r="D52" s="492"/>
      <c r="E52" s="492"/>
      <c r="F52" s="492"/>
      <c r="G52" s="492"/>
      <c r="H52" s="492"/>
      <c r="I52" s="492"/>
      <c r="J52" s="492"/>
      <c r="K52" s="92"/>
      <c r="L52" s="118"/>
      <c r="M52" s="118"/>
      <c r="N52" s="118"/>
      <c r="O52" s="118"/>
    </row>
    <row r="53" spans="1:15" ht="19.5" thickBot="1">
      <c r="A53" s="4"/>
      <c r="B53" s="548" t="s">
        <v>134</v>
      </c>
      <c r="C53" s="529" t="s">
        <v>10</v>
      </c>
      <c r="D53" s="123" t="s">
        <v>107</v>
      </c>
      <c r="E53" s="551">
        <v>130000</v>
      </c>
      <c r="F53" s="553">
        <f>1.025*13.33</f>
        <v>13.66325</v>
      </c>
      <c r="G53" s="554">
        <v>210000</v>
      </c>
      <c r="H53" s="553">
        <v>22.73</v>
      </c>
      <c r="I53" s="554">
        <v>340000</v>
      </c>
      <c r="J53" s="553">
        <f>1.025*34.85</f>
        <v>35.72125</v>
      </c>
      <c r="K53" s="132"/>
      <c r="L53" s="506"/>
      <c r="M53" s="506"/>
      <c r="N53" s="506"/>
      <c r="O53" s="506"/>
    </row>
    <row r="54" spans="1:15" ht="19.5" thickBot="1">
      <c r="A54" s="4"/>
      <c r="B54" s="549"/>
      <c r="C54" s="531"/>
      <c r="D54" s="53" t="s">
        <v>108</v>
      </c>
      <c r="E54" s="552"/>
      <c r="F54" s="553"/>
      <c r="G54" s="554"/>
      <c r="H54" s="553"/>
      <c r="I54" s="554"/>
      <c r="J54" s="553"/>
      <c r="K54" s="132"/>
      <c r="L54" s="506"/>
      <c r="M54" s="506"/>
      <c r="N54" s="506"/>
      <c r="O54" s="506"/>
    </row>
    <row r="55" spans="1:15" ht="19.5" thickBot="1">
      <c r="A55" s="4"/>
      <c r="B55" s="550"/>
      <c r="C55" s="53" t="s">
        <v>18</v>
      </c>
      <c r="D55" s="125" t="s">
        <v>77</v>
      </c>
      <c r="E55" s="189">
        <v>120000</v>
      </c>
      <c r="F55" s="85">
        <f>1.025*12.3</f>
        <v>12.6075</v>
      </c>
      <c r="G55" s="190">
        <v>190000</v>
      </c>
      <c r="H55" s="57">
        <v>20.57</v>
      </c>
      <c r="I55" s="190">
        <v>305000</v>
      </c>
      <c r="J55" s="57">
        <f>1.025*31.26</f>
        <v>32.0415</v>
      </c>
      <c r="K55" s="66"/>
      <c r="L55" s="60"/>
      <c r="M55" s="60"/>
      <c r="N55" s="60"/>
      <c r="O55" s="60"/>
    </row>
    <row r="56" spans="1:15" ht="16.5" customHeight="1">
      <c r="A56" s="4"/>
      <c r="B56" s="497" t="s">
        <v>67</v>
      </c>
      <c r="C56" s="497"/>
      <c r="D56" s="497"/>
      <c r="E56" s="497"/>
      <c r="F56" s="497"/>
      <c r="G56" s="497"/>
      <c r="H56" s="497"/>
      <c r="I56" s="497"/>
      <c r="J56" s="497"/>
      <c r="K56" s="5"/>
      <c r="L56" s="118"/>
      <c r="M56" s="118"/>
      <c r="N56" s="118"/>
      <c r="O56" s="118"/>
    </row>
    <row r="57" spans="1:15" ht="16.5" customHeight="1" thickBot="1">
      <c r="A57" s="4"/>
      <c r="B57" s="547" t="s">
        <v>135</v>
      </c>
      <c r="C57" s="547"/>
      <c r="D57" s="547"/>
      <c r="E57" s="547"/>
      <c r="F57" s="547"/>
      <c r="G57" s="547"/>
      <c r="H57" s="547"/>
      <c r="I57" s="547"/>
      <c r="J57" s="547"/>
      <c r="K57" s="5"/>
      <c r="L57" s="118"/>
      <c r="M57" s="118"/>
      <c r="N57" s="118"/>
      <c r="O57" s="118"/>
    </row>
    <row r="58" spans="1:15" ht="39" customHeight="1" thickBot="1">
      <c r="A58" s="4"/>
      <c r="B58" s="102" t="s">
        <v>34</v>
      </c>
      <c r="C58" s="53" t="s">
        <v>19</v>
      </c>
      <c r="D58" s="53" t="s">
        <v>108</v>
      </c>
      <c r="E58" s="188">
        <v>150000</v>
      </c>
      <c r="F58" s="147">
        <f>1.025*15.38</f>
        <v>15.7645</v>
      </c>
      <c r="G58" s="188">
        <v>230000</v>
      </c>
      <c r="H58" s="147">
        <f>1.025*23.58</f>
        <v>24.169499999999996</v>
      </c>
      <c r="I58" s="188">
        <v>335000</v>
      </c>
      <c r="J58" s="147">
        <f>1.025*34.34</f>
        <v>35.1985</v>
      </c>
      <c r="K58" s="132"/>
      <c r="L58" s="60"/>
      <c r="M58" s="60"/>
      <c r="N58" s="60"/>
      <c r="O58" s="60"/>
    </row>
    <row r="59" spans="1:15" ht="16.5" thickBot="1">
      <c r="A59" s="91"/>
      <c r="B59" s="543" t="s">
        <v>12</v>
      </c>
      <c r="C59" s="544"/>
      <c r="D59" s="544"/>
      <c r="E59" s="544"/>
      <c r="F59" s="544"/>
      <c r="G59" s="544"/>
      <c r="H59" s="544"/>
      <c r="I59" s="544"/>
      <c r="J59" s="545"/>
      <c r="K59" s="92"/>
      <c r="L59" s="118"/>
      <c r="M59" s="118"/>
      <c r="N59" s="118"/>
      <c r="O59" s="118"/>
    </row>
    <row r="60" spans="1:15" ht="33" customHeight="1" thickBot="1">
      <c r="A60" s="4"/>
      <c r="B60" s="191" t="s">
        <v>34</v>
      </c>
      <c r="C60" s="53" t="s">
        <v>19</v>
      </c>
      <c r="D60" s="169" t="s">
        <v>108</v>
      </c>
      <c r="E60" s="131">
        <v>130000</v>
      </c>
      <c r="F60" s="192">
        <f>1.025*13.33</f>
        <v>13.66325</v>
      </c>
      <c r="G60" s="131">
        <v>210000</v>
      </c>
      <c r="H60" s="192">
        <v>22.73</v>
      </c>
      <c r="I60" s="131">
        <v>310000</v>
      </c>
      <c r="J60" s="147">
        <f>1.025*31.78</f>
        <v>32.5745</v>
      </c>
      <c r="K60" s="132"/>
      <c r="L60" s="60"/>
      <c r="M60" s="60"/>
      <c r="N60" s="60"/>
      <c r="O60" s="60"/>
    </row>
    <row r="61" spans="1:15" ht="18" customHeight="1">
      <c r="A61" s="4"/>
      <c r="B61" s="546" t="s">
        <v>136</v>
      </c>
      <c r="C61" s="546"/>
      <c r="D61" s="546"/>
      <c r="E61" s="546"/>
      <c r="F61" s="546"/>
      <c r="G61" s="546"/>
      <c r="H61" s="546"/>
      <c r="I61" s="546"/>
      <c r="J61" s="546"/>
      <c r="K61" s="132"/>
      <c r="L61" s="60"/>
      <c r="M61" s="60"/>
      <c r="N61" s="60"/>
      <c r="O61" s="60"/>
    </row>
    <row r="62" spans="2:10" ht="18.75">
      <c r="B62" s="8" t="s">
        <v>119</v>
      </c>
      <c r="C62" s="8"/>
      <c r="D62" s="8"/>
      <c r="E62" s="8"/>
      <c r="F62" s="8"/>
      <c r="G62" s="8"/>
      <c r="H62" s="8"/>
      <c r="I62" s="8"/>
      <c r="J62" s="193" t="s">
        <v>120</v>
      </c>
    </row>
  </sheetData>
  <sheetProtection/>
  <mergeCells count="57">
    <mergeCell ref="B7:J7"/>
    <mergeCell ref="B8:J8"/>
    <mergeCell ref="B9:J9"/>
    <mergeCell ref="B10:J10"/>
    <mergeCell ref="M10:N10"/>
    <mergeCell ref="B11:B12"/>
    <mergeCell ref="C11:C12"/>
    <mergeCell ref="D11:D12"/>
    <mergeCell ref="F11:J11"/>
    <mergeCell ref="E12:F12"/>
    <mergeCell ref="G12:H12"/>
    <mergeCell ref="I12:J12"/>
    <mergeCell ref="E13:J13"/>
    <mergeCell ref="L13:O13"/>
    <mergeCell ref="B14:J14"/>
    <mergeCell ref="B15:J15"/>
    <mergeCell ref="B16:B24"/>
    <mergeCell ref="C16:C18"/>
    <mergeCell ref="C19:C21"/>
    <mergeCell ref="C22:C24"/>
    <mergeCell ref="B25:J25"/>
    <mergeCell ref="B26:B31"/>
    <mergeCell ref="C26:C28"/>
    <mergeCell ref="C29:C31"/>
    <mergeCell ref="B32:J32"/>
    <mergeCell ref="B33:J33"/>
    <mergeCell ref="B34:B35"/>
    <mergeCell ref="C34:C35"/>
    <mergeCell ref="B36:J36"/>
    <mergeCell ref="B37:B40"/>
    <mergeCell ref="C37:C38"/>
    <mergeCell ref="C39:C40"/>
    <mergeCell ref="B41:J41"/>
    <mergeCell ref="B42:B45"/>
    <mergeCell ref="C42:C43"/>
    <mergeCell ref="C44:C45"/>
    <mergeCell ref="B46:J46"/>
    <mergeCell ref="B47:B50"/>
    <mergeCell ref="C47:C48"/>
    <mergeCell ref="C49:C50"/>
    <mergeCell ref="B52:J52"/>
    <mergeCell ref="B53:B55"/>
    <mergeCell ref="C53:C54"/>
    <mergeCell ref="E53:E54"/>
    <mergeCell ref="F53:F54"/>
    <mergeCell ref="G53:G54"/>
    <mergeCell ref="H53:H54"/>
    <mergeCell ref="I53:I54"/>
    <mergeCell ref="J53:J54"/>
    <mergeCell ref="B59:J59"/>
    <mergeCell ref="B61:J61"/>
    <mergeCell ref="L53:L54"/>
    <mergeCell ref="M53:M54"/>
    <mergeCell ref="N53:N54"/>
    <mergeCell ref="O53:O54"/>
    <mergeCell ref="B56:J56"/>
    <mergeCell ref="B57:J57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view="pageBreakPreview" zoomScaleSheetLayoutView="100" zoomScalePageLayoutView="0" workbookViewId="0" topLeftCell="B8">
      <selection activeCell="B11" sqref="B11:I11"/>
    </sheetView>
  </sheetViews>
  <sheetFormatPr defaultColWidth="9.00390625" defaultRowHeight="12.75"/>
  <cols>
    <col min="1" max="1" width="9.125" style="0" hidden="1" customWidth="1"/>
    <col min="2" max="2" width="11.875" style="0" customWidth="1"/>
    <col min="3" max="3" width="17.25390625" style="0" customWidth="1"/>
    <col min="4" max="4" width="10.00390625" style="0" customWidth="1"/>
    <col min="5" max="5" width="9.125" style="0" hidden="1" customWidth="1"/>
    <col min="6" max="6" width="12.00390625" style="0" hidden="1" customWidth="1"/>
    <col min="7" max="7" width="28.125" style="0" customWidth="1"/>
    <col min="8" max="8" width="13.25390625" style="0" hidden="1" customWidth="1"/>
    <col min="9" max="9" width="29.125" style="0" customWidth="1"/>
    <col min="10" max="11" width="0" style="0" hidden="1" customWidth="1"/>
    <col min="12" max="12" width="11.625" style="0" hidden="1" customWidth="1"/>
    <col min="13" max="13" width="11.125" style="0" hidden="1" customWidth="1"/>
    <col min="14" max="14" width="11.625" style="0" hidden="1" customWidth="1"/>
    <col min="15" max="15" width="9.125" style="0" hidden="1" customWidth="1"/>
  </cols>
  <sheetData>
    <row r="1" spans="4:11" s="3" customFormat="1" ht="18.75" hidden="1">
      <c r="D1" s="16"/>
      <c r="E1" s="16"/>
      <c r="F1" s="16"/>
      <c r="H1" s="18"/>
      <c r="I1" s="19" t="e">
        <f>#REF!</f>
        <v>#REF!</v>
      </c>
      <c r="J1" s="16"/>
      <c r="K1" s="154"/>
    </row>
    <row r="2" spans="4:15" s="3" customFormat="1" ht="18.75" hidden="1">
      <c r="D2" s="16"/>
      <c r="E2" s="16"/>
      <c r="F2" s="16"/>
      <c r="H2" s="22"/>
      <c r="I2" s="193" t="s">
        <v>89</v>
      </c>
      <c r="J2" s="7"/>
      <c r="K2" s="232"/>
      <c r="L2" s="233"/>
      <c r="M2" s="233"/>
      <c r="N2" s="233"/>
      <c r="O2" s="233"/>
    </row>
    <row r="3" spans="4:15" s="3" customFormat="1" ht="18.75" hidden="1">
      <c r="D3" s="16"/>
      <c r="E3" s="16"/>
      <c r="F3" s="16"/>
      <c r="G3" s="197"/>
      <c r="H3" s="196"/>
      <c r="I3" s="387" t="s">
        <v>151</v>
      </c>
      <c r="J3" s="7"/>
      <c r="K3" s="235"/>
      <c r="L3" s="233"/>
      <c r="M3" s="233"/>
      <c r="N3" s="233"/>
      <c r="O3" s="233"/>
    </row>
    <row r="4" spans="4:15" s="3" customFormat="1" ht="15.75" hidden="1">
      <c r="D4" s="16"/>
      <c r="E4" s="16"/>
      <c r="F4" s="16"/>
      <c r="G4" s="16"/>
      <c r="H4" s="156"/>
      <c r="I4" s="156"/>
      <c r="J4" s="7"/>
      <c r="K4" s="235"/>
      <c r="L4" s="233"/>
      <c r="M4" s="233"/>
      <c r="N4" s="233"/>
      <c r="O4" s="233"/>
    </row>
    <row r="5" spans="4:15" s="3" customFormat="1" ht="15.75" hidden="1">
      <c r="D5" s="16"/>
      <c r="E5" s="16"/>
      <c r="F5" s="16"/>
      <c r="G5" s="16"/>
      <c r="H5" s="156"/>
      <c r="I5" s="156"/>
      <c r="J5" s="7"/>
      <c r="K5" s="235"/>
      <c r="L5" s="233"/>
      <c r="M5" s="233"/>
      <c r="N5" s="233"/>
      <c r="O5" s="233"/>
    </row>
    <row r="6" spans="1:15" s="29" customFormat="1" ht="21" customHeight="1" hidden="1">
      <c r="A6" s="25"/>
      <c r="B6" s="780" t="s">
        <v>363</v>
      </c>
      <c r="C6" s="780"/>
      <c r="D6" s="780"/>
      <c r="E6" s="780"/>
      <c r="F6" s="780"/>
      <c r="G6" s="780"/>
      <c r="H6" s="780"/>
      <c r="I6" s="780"/>
      <c r="J6" s="236"/>
      <c r="K6" s="157"/>
      <c r="L6" s="157"/>
      <c r="M6" s="157"/>
      <c r="N6" s="161"/>
      <c r="O6" s="161"/>
    </row>
    <row r="7" spans="1:15" s="29" customFormat="1" ht="21" customHeight="1" hidden="1">
      <c r="A7" s="158"/>
      <c r="B7" s="788" t="s">
        <v>208</v>
      </c>
      <c r="C7" s="788"/>
      <c r="D7" s="788"/>
      <c r="E7" s="788"/>
      <c r="F7" s="788"/>
      <c r="G7" s="788"/>
      <c r="H7" s="788"/>
      <c r="I7" s="788"/>
      <c r="J7" s="159"/>
      <c r="K7" s="232"/>
      <c r="L7" s="161"/>
      <c r="M7" s="161"/>
      <c r="N7" s="161"/>
      <c r="O7" s="161"/>
    </row>
    <row r="8" spans="1:15" s="29" customFormat="1" ht="21" customHeight="1">
      <c r="A8" s="158"/>
      <c r="B8" s="490"/>
      <c r="C8" s="490"/>
      <c r="D8" s="490"/>
      <c r="E8" s="490"/>
      <c r="F8" s="490"/>
      <c r="G8" s="490"/>
      <c r="H8" s="490"/>
      <c r="I8" s="490"/>
      <c r="J8" s="159"/>
      <c r="K8" s="232"/>
      <c r="L8" s="161"/>
      <c r="M8" s="161"/>
      <c r="N8" s="161"/>
      <c r="O8" s="161"/>
    </row>
    <row r="9" spans="1:15" s="29" customFormat="1" ht="21" customHeight="1">
      <c r="A9" s="158"/>
      <c r="B9" s="490"/>
      <c r="C9" s="490"/>
      <c r="D9" s="490"/>
      <c r="E9" s="490"/>
      <c r="F9" s="490"/>
      <c r="G9" s="490"/>
      <c r="H9" s="490"/>
      <c r="I9" s="490"/>
      <c r="J9" s="159"/>
      <c r="K9" s="232"/>
      <c r="L9" s="161"/>
      <c r="M9" s="161"/>
      <c r="N9" s="161"/>
      <c r="O9" s="161"/>
    </row>
    <row r="10" spans="1:15" s="3" customFormat="1" ht="21" customHeight="1">
      <c r="A10" s="162"/>
      <c r="B10" s="629" t="s">
        <v>162</v>
      </c>
      <c r="C10" s="629"/>
      <c r="D10" s="629"/>
      <c r="E10" s="629"/>
      <c r="F10" s="629"/>
      <c r="G10" s="629"/>
      <c r="H10" s="629"/>
      <c r="I10" s="629"/>
      <c r="J10" s="238"/>
      <c r="K10" s="239"/>
      <c r="L10" s="233"/>
      <c r="M10" s="233"/>
      <c r="N10" s="233"/>
      <c r="O10" s="233"/>
    </row>
    <row r="11" spans="1:15" s="3" customFormat="1" ht="19.5" customHeight="1" thickBot="1">
      <c r="A11" s="42"/>
      <c r="B11" s="644" t="s">
        <v>369</v>
      </c>
      <c r="C11" s="644"/>
      <c r="D11" s="644"/>
      <c r="E11" s="644"/>
      <c r="F11" s="644"/>
      <c r="G11" s="644"/>
      <c r="H11" s="644"/>
      <c r="I11" s="644"/>
      <c r="J11" s="44"/>
      <c r="K11" s="164"/>
      <c r="L11" s="535"/>
      <c r="M11" s="535"/>
      <c r="N11" s="165"/>
      <c r="O11" s="233"/>
    </row>
    <row r="12" spans="1:15" s="3" customFormat="1" ht="37.5" customHeight="1" thickBot="1">
      <c r="A12" s="91"/>
      <c r="B12" s="645" t="s">
        <v>1</v>
      </c>
      <c r="C12" s="645" t="s">
        <v>40</v>
      </c>
      <c r="D12" s="648" t="s">
        <v>39</v>
      </c>
      <c r="E12" s="651" t="s">
        <v>158</v>
      </c>
      <c r="F12" s="652"/>
      <c r="G12" s="652"/>
      <c r="H12" s="652"/>
      <c r="I12" s="653"/>
      <c r="J12" s="44"/>
      <c r="K12" s="654"/>
      <c r="L12" s="654"/>
      <c r="M12" s="654"/>
      <c r="N12" s="654"/>
      <c r="O12" s="233"/>
    </row>
    <row r="13" spans="1:15" s="3" customFormat="1" ht="24" customHeight="1" thickBot="1">
      <c r="A13" s="91"/>
      <c r="B13" s="646"/>
      <c r="C13" s="646"/>
      <c r="D13" s="649"/>
      <c r="E13" s="43" t="s">
        <v>159</v>
      </c>
      <c r="F13" s="694" t="s">
        <v>99</v>
      </c>
      <c r="G13" s="789"/>
      <c r="H13" s="789"/>
      <c r="I13" s="790"/>
      <c r="J13" s="44"/>
      <c r="K13" s="45"/>
      <c r="L13" s="45"/>
      <c r="M13" s="45"/>
      <c r="N13" s="45"/>
      <c r="O13" s="233"/>
    </row>
    <row r="14" spans="1:15" s="3" customFormat="1" ht="39" customHeight="1" hidden="1" thickBot="1">
      <c r="A14" s="91"/>
      <c r="B14" s="647"/>
      <c r="C14" s="647"/>
      <c r="D14" s="650"/>
      <c r="E14" s="240"/>
      <c r="F14" s="791"/>
      <c r="G14" s="791"/>
      <c r="H14" s="791"/>
      <c r="I14" s="792"/>
      <c r="J14" s="47"/>
      <c r="K14" s="48"/>
      <c r="L14" s="48"/>
      <c r="M14" s="48"/>
      <c r="N14" s="48"/>
      <c r="O14" s="233"/>
    </row>
    <row r="15" spans="1:15" s="3" customFormat="1" ht="30.75" customHeight="1" hidden="1" thickBot="1">
      <c r="A15" s="4"/>
      <c r="B15" s="674"/>
      <c r="C15" s="674"/>
      <c r="D15" s="675"/>
      <c r="E15" s="793"/>
      <c r="F15" s="794"/>
      <c r="G15" s="794"/>
      <c r="H15" s="794"/>
      <c r="I15" s="794"/>
      <c r="J15" s="5"/>
      <c r="K15" s="567"/>
      <c r="L15" s="567"/>
      <c r="M15" s="567"/>
      <c r="N15" s="567"/>
      <c r="O15" s="233"/>
    </row>
    <row r="16" spans="1:15" s="3" customFormat="1" ht="19.5" thickBot="1">
      <c r="A16" s="4"/>
      <c r="B16" s="526" t="s">
        <v>62</v>
      </c>
      <c r="C16" s="529" t="s">
        <v>163</v>
      </c>
      <c r="D16" s="75">
        <v>1</v>
      </c>
      <c r="E16" s="219">
        <f>ROUND(E17*1.2/10,100)*10</f>
        <v>0</v>
      </c>
      <c r="F16" s="241">
        <f>ROUND(F17*1.2/10,100)*10</f>
        <v>1557600</v>
      </c>
      <c r="G16" s="797">
        <v>265.3</v>
      </c>
      <c r="H16" s="798"/>
      <c r="I16" s="799"/>
      <c r="J16" s="59"/>
      <c r="K16" s="60"/>
      <c r="L16" s="60"/>
      <c r="M16" s="60"/>
      <c r="N16" s="60"/>
      <c r="O16" s="233"/>
    </row>
    <row r="17" spans="1:15" s="3" customFormat="1" ht="19.5" thickBot="1">
      <c r="A17" s="4"/>
      <c r="B17" s="527"/>
      <c r="C17" s="530"/>
      <c r="D17" s="53">
        <v>2</v>
      </c>
      <c r="E17" s="203"/>
      <c r="F17" s="244">
        <f>1.1*F21</f>
        <v>1298000</v>
      </c>
      <c r="G17" s="797">
        <v>258.4</v>
      </c>
      <c r="H17" s="798"/>
      <c r="I17" s="799"/>
      <c r="J17" s="66"/>
      <c r="K17" s="60"/>
      <c r="L17" s="60"/>
      <c r="M17" s="60"/>
      <c r="N17" s="60"/>
      <c r="O17" s="233"/>
    </row>
    <row r="18" spans="1:15" s="3" customFormat="1" ht="19.5" thickBot="1">
      <c r="A18" s="4"/>
      <c r="B18" s="527"/>
      <c r="C18" s="530"/>
      <c r="D18" s="53" t="s">
        <v>77</v>
      </c>
      <c r="E18" s="203"/>
      <c r="F18" s="245">
        <f>ROUND(F17*0.8/10,100)*10</f>
        <v>1038400</v>
      </c>
      <c r="G18" s="797">
        <v>219.7</v>
      </c>
      <c r="H18" s="798"/>
      <c r="I18" s="799"/>
      <c r="J18" s="66"/>
      <c r="K18" s="60"/>
      <c r="L18" s="60"/>
      <c r="M18" s="60"/>
      <c r="N18" s="60"/>
      <c r="O18" s="233"/>
    </row>
    <row r="19" spans="1:15" s="3" customFormat="1" ht="19.5" hidden="1" thickBot="1">
      <c r="A19" s="4"/>
      <c r="B19" s="527"/>
      <c r="C19" s="531"/>
      <c r="D19" s="53"/>
      <c r="E19" s="201">
        <f>ROUND(E17*0.8/10,100)*10</f>
        <v>0</v>
      </c>
      <c r="F19" s="245">
        <v>726900</v>
      </c>
      <c r="G19" s="58"/>
      <c r="H19" s="54"/>
      <c r="I19" s="58"/>
      <c r="J19" s="59"/>
      <c r="K19" s="60"/>
      <c r="L19" s="60"/>
      <c r="M19" s="60"/>
      <c r="N19" s="60"/>
      <c r="O19" s="233"/>
    </row>
    <row r="20" spans="1:15" s="3" customFormat="1" ht="19.5" thickBot="1">
      <c r="A20" s="4"/>
      <c r="B20" s="527"/>
      <c r="C20" s="529" t="s">
        <v>164</v>
      </c>
      <c r="D20" s="53">
        <v>1</v>
      </c>
      <c r="E20" s="201">
        <f>ROUND(E21*1.2/10,100)*10</f>
        <v>0</v>
      </c>
      <c r="F20" s="245">
        <f>ROUND(F21*1.2/10,100)*10</f>
        <v>1416000</v>
      </c>
      <c r="G20" s="797">
        <v>253.6</v>
      </c>
      <c r="H20" s="798"/>
      <c r="I20" s="799"/>
      <c r="J20" s="59"/>
      <c r="K20" s="60"/>
      <c r="L20" s="60"/>
      <c r="M20" s="60"/>
      <c r="N20" s="60"/>
      <c r="O20" s="233"/>
    </row>
    <row r="21" spans="1:15" s="3" customFormat="1" ht="19.5" thickBot="1">
      <c r="A21" s="4"/>
      <c r="B21" s="527"/>
      <c r="C21" s="530"/>
      <c r="D21" s="53">
        <v>2</v>
      </c>
      <c r="E21" s="203"/>
      <c r="F21" s="244">
        <v>1180000</v>
      </c>
      <c r="G21" s="797">
        <v>246.7</v>
      </c>
      <c r="H21" s="798"/>
      <c r="I21" s="799"/>
      <c r="J21" s="66"/>
      <c r="K21" s="60"/>
      <c r="L21" s="60"/>
      <c r="M21" s="60"/>
      <c r="N21" s="60"/>
      <c r="O21" s="233"/>
    </row>
    <row r="22" spans="1:15" s="3" customFormat="1" ht="19.5" thickBot="1">
      <c r="A22" s="4"/>
      <c r="B22" s="527"/>
      <c r="C22" s="530"/>
      <c r="D22" s="53" t="s">
        <v>77</v>
      </c>
      <c r="E22" s="203"/>
      <c r="F22" s="245">
        <f>ROUND(F21*0.8/10,100)*10</f>
        <v>944000</v>
      </c>
      <c r="G22" s="797">
        <v>208</v>
      </c>
      <c r="H22" s="798"/>
      <c r="I22" s="799"/>
      <c r="J22" s="66"/>
      <c r="K22" s="60"/>
      <c r="L22" s="60"/>
      <c r="M22" s="60"/>
      <c r="N22" s="60"/>
      <c r="O22" s="233"/>
    </row>
    <row r="23" spans="1:15" s="3" customFormat="1" ht="19.5" hidden="1" thickBot="1">
      <c r="A23" s="4"/>
      <c r="B23" s="527"/>
      <c r="C23" s="530"/>
      <c r="D23" s="53" t="s">
        <v>78</v>
      </c>
      <c r="E23" s="201">
        <f>ROUND(E21*0.8/10,100)*10</f>
        <v>0</v>
      </c>
      <c r="F23" s="245">
        <f>ROUND(F21*0.56/10,100)*10</f>
        <v>660800</v>
      </c>
      <c r="G23" s="58"/>
      <c r="H23" s="54"/>
      <c r="I23" s="58"/>
      <c r="J23" s="59"/>
      <c r="K23" s="60"/>
      <c r="L23" s="60"/>
      <c r="M23" s="60"/>
      <c r="N23" s="60"/>
      <c r="O23" s="233"/>
    </row>
    <row r="24" spans="1:15" s="3" customFormat="1" ht="19.5" thickBot="1">
      <c r="A24" s="4"/>
      <c r="B24" s="527"/>
      <c r="C24" s="529" t="s">
        <v>41</v>
      </c>
      <c r="D24" s="53">
        <v>1</v>
      </c>
      <c r="E24" s="201">
        <f>ROUND(E25*1.2/10,100)*10</f>
        <v>0</v>
      </c>
      <c r="F24" s="245">
        <f>ROUND(F25*1.2/10,100)*10</f>
        <v>1699200</v>
      </c>
      <c r="G24" s="797">
        <v>320.2</v>
      </c>
      <c r="H24" s="798"/>
      <c r="I24" s="799"/>
      <c r="J24" s="59"/>
      <c r="K24" s="60"/>
      <c r="L24" s="60"/>
      <c r="M24" s="60"/>
      <c r="N24" s="60"/>
      <c r="O24" s="233"/>
    </row>
    <row r="25" spans="1:18" s="3" customFormat="1" ht="19.5" thickBot="1">
      <c r="A25" s="4"/>
      <c r="B25" s="527"/>
      <c r="C25" s="530"/>
      <c r="D25" s="86">
        <v>2</v>
      </c>
      <c r="E25" s="205"/>
      <c r="F25" s="247">
        <f>F21*1.2</f>
        <v>1416000</v>
      </c>
      <c r="G25" s="797">
        <v>295.2</v>
      </c>
      <c r="H25" s="798"/>
      <c r="I25" s="799"/>
      <c r="J25" s="66"/>
      <c r="K25" s="60"/>
      <c r="L25" s="60"/>
      <c r="M25" s="60"/>
      <c r="N25" s="60"/>
      <c r="O25" s="233"/>
      <c r="R25" s="491"/>
    </row>
    <row r="26" spans="1:15" s="3" customFormat="1" ht="19.5" thickBot="1">
      <c r="A26" s="4"/>
      <c r="B26" s="527"/>
      <c r="C26" s="531"/>
      <c r="D26" s="53" t="s">
        <v>77</v>
      </c>
      <c r="E26" s="203"/>
      <c r="F26" s="245">
        <f>ROUND(F25*0.8/10,100)*10</f>
        <v>1132800</v>
      </c>
      <c r="G26" s="797">
        <v>257.5</v>
      </c>
      <c r="H26" s="798"/>
      <c r="I26" s="799"/>
      <c r="J26" s="66"/>
      <c r="K26" s="60"/>
      <c r="L26" s="60"/>
      <c r="M26" s="60"/>
      <c r="N26" s="60"/>
      <c r="O26" s="233"/>
    </row>
    <row r="27" spans="1:15" s="3" customFormat="1" ht="19.5" thickBot="1">
      <c r="A27" s="4"/>
      <c r="B27" s="795"/>
      <c r="C27" s="621" t="s">
        <v>165</v>
      </c>
      <c r="D27" s="75">
        <v>1</v>
      </c>
      <c r="E27" s="313">
        <f>ROUND(E28*1.2/10,100)*10</f>
        <v>0</v>
      </c>
      <c r="F27" s="314">
        <f>ROUND(F28*1.2/10,100)*10</f>
        <v>1840800</v>
      </c>
      <c r="G27" s="739">
        <v>331.9</v>
      </c>
      <c r="H27" s="739"/>
      <c r="I27" s="740"/>
      <c r="J27" s="59"/>
      <c r="K27" s="60"/>
      <c r="L27" s="60"/>
      <c r="M27" s="60"/>
      <c r="N27" s="60"/>
      <c r="O27" s="233"/>
    </row>
    <row r="28" spans="1:15" s="3" customFormat="1" ht="19.5" thickBot="1">
      <c r="A28" s="4"/>
      <c r="B28" s="795"/>
      <c r="C28" s="622"/>
      <c r="D28" s="75">
        <v>2</v>
      </c>
      <c r="E28" s="98"/>
      <c r="F28" s="315">
        <f>F21*1.3</f>
        <v>1534000</v>
      </c>
      <c r="G28" s="803">
        <v>306.9</v>
      </c>
      <c r="H28" s="803"/>
      <c r="I28" s="804"/>
      <c r="J28" s="66"/>
      <c r="K28" s="60"/>
      <c r="L28" s="60"/>
      <c r="M28" s="60"/>
      <c r="N28" s="60"/>
      <c r="O28" s="233"/>
    </row>
    <row r="29" spans="1:15" s="3" customFormat="1" ht="19.5" thickBot="1">
      <c r="A29" s="4"/>
      <c r="B29" s="796"/>
      <c r="C29" s="623"/>
      <c r="D29" s="53">
        <v>3</v>
      </c>
      <c r="E29" s="316">
        <f>ROUND(E28*0.8/10,100)*10</f>
        <v>0</v>
      </c>
      <c r="F29" s="317">
        <f>ROUND(F28*0.8/10,100)*10</f>
        <v>1227200</v>
      </c>
      <c r="G29" s="739">
        <v>269.2</v>
      </c>
      <c r="H29" s="739"/>
      <c r="I29" s="740"/>
      <c r="J29" s="182"/>
      <c r="K29" s="60"/>
      <c r="L29" s="60"/>
      <c r="M29" s="60"/>
      <c r="N29" s="60"/>
      <c r="O29" s="233"/>
    </row>
    <row r="30" spans="1:15" s="3" customFormat="1" ht="18.75">
      <c r="A30" s="4"/>
      <c r="B30" s="489"/>
      <c r="C30" s="62"/>
      <c r="D30" s="62"/>
      <c r="E30" s="454"/>
      <c r="F30" s="205"/>
      <c r="G30" s="456"/>
      <c r="H30" s="454"/>
      <c r="I30" s="454"/>
      <c r="J30" s="182"/>
      <c r="K30" s="60"/>
      <c r="L30" s="60"/>
      <c r="M30" s="60"/>
      <c r="N30" s="60"/>
      <c r="O30" s="233"/>
    </row>
    <row r="31" spans="1:15" s="3" customFormat="1" ht="18.75">
      <c r="A31" s="4"/>
      <c r="B31" s="730" t="s">
        <v>119</v>
      </c>
      <c r="C31" s="730"/>
      <c r="D31" s="318"/>
      <c r="E31" s="319"/>
      <c r="F31" s="319"/>
      <c r="G31" s="319"/>
      <c r="H31" s="320"/>
      <c r="I31" s="321" t="s">
        <v>295</v>
      </c>
      <c r="J31" s="182"/>
      <c r="K31" s="60"/>
      <c r="L31" s="60"/>
      <c r="M31" s="60"/>
      <c r="N31" s="60"/>
      <c r="O31" s="233"/>
    </row>
    <row r="32" spans="1:15" s="3" customFormat="1" ht="19.5" customHeight="1">
      <c r="A32" s="116"/>
      <c r="B32" s="800" t="s">
        <v>368</v>
      </c>
      <c r="C32" s="800"/>
      <c r="D32" s="800"/>
      <c r="E32" s="800"/>
      <c r="F32" s="800"/>
      <c r="G32" s="800"/>
      <c r="H32" s="800"/>
      <c r="I32" s="800"/>
      <c r="J32" s="5"/>
      <c r="K32" s="51"/>
      <c r="L32" s="51"/>
      <c r="M32" s="51"/>
      <c r="N32" s="51"/>
      <c r="O32" s="233"/>
    </row>
    <row r="33" spans="1:15" s="3" customFormat="1" ht="15">
      <c r="A33" s="91"/>
      <c r="B33" s="801"/>
      <c r="C33" s="801"/>
      <c r="D33" s="801"/>
      <c r="E33" s="801"/>
      <c r="F33" s="801"/>
      <c r="G33" s="801"/>
      <c r="H33" s="801"/>
      <c r="I33" s="801"/>
      <c r="J33" s="5"/>
      <c r="K33" s="51"/>
      <c r="L33" s="51"/>
      <c r="M33" s="51"/>
      <c r="N33" s="51"/>
      <c r="O33" s="233"/>
    </row>
    <row r="34" spans="1:15" s="3" customFormat="1" ht="15">
      <c r="A34" s="4"/>
      <c r="B34" s="802"/>
      <c r="C34" s="802"/>
      <c r="D34" s="802"/>
      <c r="E34" s="802"/>
      <c r="F34" s="802"/>
      <c r="G34" s="802"/>
      <c r="H34" s="802"/>
      <c r="I34" s="802"/>
      <c r="J34" s="5"/>
      <c r="K34" s="51"/>
      <c r="L34" s="51"/>
      <c r="M34" s="51"/>
      <c r="N34" s="51"/>
      <c r="O34" s="233"/>
    </row>
  </sheetData>
  <sheetProtection/>
  <mergeCells count="34">
    <mergeCell ref="B33:I33"/>
    <mergeCell ref="B34:I34"/>
    <mergeCell ref="C27:C29"/>
    <mergeCell ref="G27:I27"/>
    <mergeCell ref="G28:I28"/>
    <mergeCell ref="G29:I29"/>
    <mergeCell ref="B31:C31"/>
    <mergeCell ref="B32:I32"/>
    <mergeCell ref="G21:I21"/>
    <mergeCell ref="G22:I22"/>
    <mergeCell ref="C24:C26"/>
    <mergeCell ref="G24:I24"/>
    <mergeCell ref="G25:I25"/>
    <mergeCell ref="G26:I26"/>
    <mergeCell ref="F13:I14"/>
    <mergeCell ref="E15:I15"/>
    <mergeCell ref="K15:N15"/>
    <mergeCell ref="B16:B29"/>
    <mergeCell ref="C16:C19"/>
    <mergeCell ref="G16:I16"/>
    <mergeCell ref="G17:I17"/>
    <mergeCell ref="G18:I18"/>
    <mergeCell ref="C20:C23"/>
    <mergeCell ref="G20:I20"/>
    <mergeCell ref="B6:I6"/>
    <mergeCell ref="B7:I7"/>
    <mergeCell ref="B10:I10"/>
    <mergeCell ref="B11:I11"/>
    <mergeCell ref="L11:M11"/>
    <mergeCell ref="B12:B15"/>
    <mergeCell ref="C12:C15"/>
    <mergeCell ref="D12:D15"/>
    <mergeCell ref="E12:I12"/>
    <mergeCell ref="K12:N12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N50"/>
  <sheetViews>
    <sheetView view="pageBreakPreview" zoomScaleSheetLayoutView="100" zoomScalePageLayoutView="0" workbookViewId="0" topLeftCell="A1">
      <selection activeCell="A6" sqref="A6:I6"/>
    </sheetView>
  </sheetViews>
  <sheetFormatPr defaultColWidth="9.00390625" defaultRowHeight="12.75"/>
  <cols>
    <col min="1" max="1" width="16.625" style="3" customWidth="1"/>
    <col min="2" max="2" width="15.625" style="3" customWidth="1"/>
    <col min="3" max="3" width="18.375" style="3" customWidth="1"/>
    <col min="4" max="4" width="18.75390625" style="3" hidden="1" customWidth="1"/>
    <col min="5" max="5" width="24.875" style="3" customWidth="1"/>
    <col min="6" max="6" width="18.625" style="3" hidden="1" customWidth="1"/>
    <col min="7" max="7" width="27.25390625" style="3" customWidth="1"/>
    <col min="8" max="8" width="21.125" style="3" hidden="1" customWidth="1"/>
    <col min="9" max="9" width="30.625" style="3" customWidth="1"/>
    <col min="10" max="10" width="2.25390625" style="3" customWidth="1"/>
    <col min="11" max="11" width="12.875" style="154" customWidth="1"/>
    <col min="12" max="14" width="12.875" style="3" customWidth="1"/>
    <col min="15" max="16384" width="9.125" style="3" customWidth="1"/>
  </cols>
  <sheetData>
    <row r="1" spans="1:10" ht="18.75">
      <c r="A1" s="8"/>
      <c r="B1" s="8"/>
      <c r="C1" s="22"/>
      <c r="D1" s="22"/>
      <c r="E1" s="22"/>
      <c r="F1" s="17" t="str">
        <f>'[1]хв'!$G$1</f>
        <v>УТВЕРЖДАЮ</v>
      </c>
      <c r="H1" s="22"/>
      <c r="I1" s="19" t="s">
        <v>88</v>
      </c>
      <c r="J1" s="16"/>
    </row>
    <row r="2" spans="1:11" ht="18.75">
      <c r="A2" s="8"/>
      <c r="B2" s="8"/>
      <c r="C2" s="22"/>
      <c r="D2" s="22"/>
      <c r="F2" s="22" t="str">
        <f>'[1]хв'!$G$2</f>
        <v>Директор ГЛХУ "Лельчицкий лесхоз"</v>
      </c>
      <c r="G2" s="194"/>
      <c r="H2" s="22"/>
      <c r="I2" s="19" t="s">
        <v>137</v>
      </c>
      <c r="J2" s="16"/>
      <c r="K2" s="195"/>
    </row>
    <row r="3" spans="1:10" ht="18.75">
      <c r="A3" s="8"/>
      <c r="B3" s="8"/>
      <c r="C3" s="22"/>
      <c r="D3" s="22"/>
      <c r="E3" s="22"/>
      <c r="F3" s="196"/>
      <c r="G3" s="197"/>
      <c r="H3" s="22" t="s">
        <v>90</v>
      </c>
      <c r="I3" s="19" t="s">
        <v>138</v>
      </c>
      <c r="J3" s="16"/>
    </row>
    <row r="4" spans="1:10" ht="18.75">
      <c r="A4" s="8"/>
      <c r="B4" s="8"/>
      <c r="C4" s="22"/>
      <c r="D4" s="22"/>
      <c r="E4" s="22"/>
      <c r="F4" s="198"/>
      <c r="G4" s="198"/>
      <c r="H4" s="22"/>
      <c r="I4" s="1" t="s">
        <v>92</v>
      </c>
      <c r="J4" s="16"/>
    </row>
    <row r="5" spans="1:10" ht="18.75">
      <c r="A5" s="8"/>
      <c r="B5" s="8"/>
      <c r="C5" s="22"/>
      <c r="D5" s="22"/>
      <c r="E5" s="22"/>
      <c r="F5" s="198"/>
      <c r="G5" s="198"/>
      <c r="H5" s="22"/>
      <c r="I5" s="16" t="s">
        <v>93</v>
      </c>
      <c r="J5" s="16"/>
    </row>
    <row r="6" spans="1:13" s="29" customFormat="1" ht="33" customHeight="1">
      <c r="A6" s="532" t="s">
        <v>139</v>
      </c>
      <c r="B6" s="532"/>
      <c r="C6" s="532"/>
      <c r="D6" s="532"/>
      <c r="E6" s="532"/>
      <c r="F6" s="532"/>
      <c r="G6" s="532"/>
      <c r="H6" s="532"/>
      <c r="I6" s="532"/>
      <c r="J6" s="26"/>
      <c r="K6" s="157"/>
      <c r="L6" s="157"/>
      <c r="M6" s="157"/>
    </row>
    <row r="7" spans="1:13" s="29" customFormat="1" ht="21" customHeight="1">
      <c r="A7" s="572" t="s">
        <v>95</v>
      </c>
      <c r="B7" s="572"/>
      <c r="C7" s="572"/>
      <c r="D7" s="572"/>
      <c r="E7" s="572"/>
      <c r="F7" s="572"/>
      <c r="G7" s="572"/>
      <c r="H7" s="572"/>
      <c r="I7" s="572"/>
      <c r="J7" s="159"/>
      <c r="K7" s="160"/>
      <c r="L7" s="161"/>
      <c r="M7" s="161"/>
    </row>
    <row r="8" spans="1:11" ht="21" customHeight="1">
      <c r="A8" s="573" t="s">
        <v>140</v>
      </c>
      <c r="B8" s="573"/>
      <c r="C8" s="573"/>
      <c r="D8" s="573"/>
      <c r="E8" s="573"/>
      <c r="F8" s="573"/>
      <c r="G8" s="573"/>
      <c r="H8" s="573"/>
      <c r="I8" s="573"/>
      <c r="J8" s="163"/>
      <c r="K8" s="37"/>
    </row>
    <row r="9" spans="1:14" ht="21" customHeight="1" thickBot="1">
      <c r="A9" s="574" t="s">
        <v>126</v>
      </c>
      <c r="B9" s="574"/>
      <c r="C9" s="574"/>
      <c r="D9" s="574"/>
      <c r="E9" s="574"/>
      <c r="F9" s="574"/>
      <c r="G9" s="574"/>
      <c r="H9" s="574"/>
      <c r="I9" s="574"/>
      <c r="J9" s="39"/>
      <c r="K9" s="164"/>
      <c r="L9" s="535"/>
      <c r="M9" s="535"/>
      <c r="N9" s="165"/>
    </row>
    <row r="10" spans="1:14" ht="24" customHeight="1" thickBot="1">
      <c r="A10" s="536" t="s">
        <v>1</v>
      </c>
      <c r="B10" s="536" t="s">
        <v>2</v>
      </c>
      <c r="C10" s="536" t="s">
        <v>39</v>
      </c>
      <c r="D10" s="43" t="s">
        <v>98</v>
      </c>
      <c r="E10" s="538" t="s">
        <v>99</v>
      </c>
      <c r="F10" s="539"/>
      <c r="G10" s="539"/>
      <c r="H10" s="539"/>
      <c r="I10" s="540"/>
      <c r="J10" s="44"/>
      <c r="K10" s="45"/>
      <c r="L10" s="45"/>
      <c r="M10" s="199"/>
      <c r="N10" s="45"/>
    </row>
    <row r="11" spans="1:14" ht="20.25" customHeight="1" thickBot="1">
      <c r="A11" s="537"/>
      <c r="B11" s="537"/>
      <c r="C11" s="537"/>
      <c r="D11" s="541" t="s">
        <v>100</v>
      </c>
      <c r="E11" s="542"/>
      <c r="F11" s="600" t="s">
        <v>101</v>
      </c>
      <c r="G11" s="542"/>
      <c r="H11" s="601" t="s">
        <v>102</v>
      </c>
      <c r="I11" s="601"/>
      <c r="J11" s="47"/>
      <c r="K11" s="48"/>
      <c r="L11" s="48"/>
      <c r="M11" s="48"/>
      <c r="N11" s="48"/>
    </row>
    <row r="12" spans="1:14" ht="21.75" customHeight="1" hidden="1" thickBot="1">
      <c r="A12" s="606"/>
      <c r="B12" s="606"/>
      <c r="C12" s="606"/>
      <c r="D12" s="602"/>
      <c r="E12" s="602"/>
      <c r="F12" s="602"/>
      <c r="G12" s="602"/>
      <c r="H12" s="602"/>
      <c r="I12" s="603"/>
      <c r="J12" s="5"/>
      <c r="K12" s="567"/>
      <c r="L12" s="567"/>
      <c r="M12" s="567"/>
      <c r="N12" s="567"/>
    </row>
    <row r="13" spans="1:14" ht="15.75" customHeight="1">
      <c r="A13" s="604" t="s">
        <v>103</v>
      </c>
      <c r="B13" s="604"/>
      <c r="C13" s="604"/>
      <c r="D13" s="604"/>
      <c r="E13" s="604"/>
      <c r="F13" s="604"/>
      <c r="G13" s="604"/>
      <c r="H13" s="604"/>
      <c r="I13" s="604"/>
      <c r="J13" s="5"/>
      <c r="K13" s="51"/>
      <c r="L13" s="51"/>
      <c r="M13" s="51"/>
      <c r="N13" s="51"/>
    </row>
    <row r="14" spans="1:14" ht="15.75" customHeight="1" thickBot="1">
      <c r="A14" s="605" t="s">
        <v>141</v>
      </c>
      <c r="B14" s="605"/>
      <c r="C14" s="605"/>
      <c r="D14" s="605"/>
      <c r="E14" s="605"/>
      <c r="F14" s="605"/>
      <c r="G14" s="605"/>
      <c r="H14" s="605"/>
      <c r="I14" s="605"/>
      <c r="J14" s="5"/>
      <c r="K14" s="51"/>
      <c r="L14" s="51"/>
      <c r="M14" s="51"/>
      <c r="N14" s="51"/>
    </row>
    <row r="15" spans="1:14" ht="19.5" thickBot="1">
      <c r="A15" s="526" t="s">
        <v>35</v>
      </c>
      <c r="B15" s="507" t="s">
        <v>3</v>
      </c>
      <c r="C15" s="53">
        <v>1</v>
      </c>
      <c r="D15" s="201">
        <f>ROUND(D16*1.2/10,100)*10</f>
        <v>564000</v>
      </c>
      <c r="E15" s="202">
        <f>1.025*57.81</f>
        <v>59.25525</v>
      </c>
      <c r="F15" s="203">
        <f>ROUND(F16*1.2/10,100)*10</f>
        <v>702000</v>
      </c>
      <c r="G15" s="202">
        <f>1.025*71.96</f>
        <v>73.75899999999999</v>
      </c>
      <c r="H15" s="204">
        <f>ROUND(H16*1.2/10,100)*10</f>
        <v>816000</v>
      </c>
      <c r="I15" s="202">
        <f>1.025*83.64</f>
        <v>85.731</v>
      </c>
      <c r="J15" s="59"/>
      <c r="K15" s="60"/>
      <c r="L15" s="60"/>
      <c r="M15" s="60"/>
      <c r="N15" s="60"/>
    </row>
    <row r="16" spans="1:14" ht="19.5" thickBot="1">
      <c r="A16" s="527"/>
      <c r="B16" s="512"/>
      <c r="C16" s="75">
        <v>2</v>
      </c>
      <c r="D16" s="205">
        <v>470000</v>
      </c>
      <c r="E16" s="206">
        <f>1.025*48.18</f>
        <v>49.384499999999996</v>
      </c>
      <c r="F16" s="205">
        <v>585000</v>
      </c>
      <c r="G16" s="206">
        <f>1.025*59.96</f>
        <v>61.458999999999996</v>
      </c>
      <c r="H16" s="207">
        <v>680000</v>
      </c>
      <c r="I16" s="206">
        <f>1.025*69.7</f>
        <v>71.4425</v>
      </c>
      <c r="J16" s="66"/>
      <c r="K16" s="60"/>
      <c r="L16" s="60"/>
      <c r="M16" s="60"/>
      <c r="N16" s="60"/>
    </row>
    <row r="17" spans="1:14" ht="19.5" thickBot="1">
      <c r="A17" s="527"/>
      <c r="B17" s="512"/>
      <c r="C17" s="53">
        <v>3</v>
      </c>
      <c r="D17" s="208">
        <f>ROUND(D16*0.8/10,100)*10</f>
        <v>376000</v>
      </c>
      <c r="E17" s="57">
        <f>1.025*38.54</f>
        <v>39.503499999999995</v>
      </c>
      <c r="F17" s="203">
        <f>ROUND(F16*0.8/10,100)*10</f>
        <v>468000</v>
      </c>
      <c r="G17" s="202">
        <f>1.025*47.97</f>
        <v>49.16925</v>
      </c>
      <c r="H17" s="204">
        <f>ROUND(H16*0.8/10,100)*10</f>
        <v>544000</v>
      </c>
      <c r="I17" s="202">
        <f>1.025*55.76</f>
        <v>57.153999999999996</v>
      </c>
      <c r="J17" s="59"/>
      <c r="K17" s="60"/>
      <c r="L17" s="60"/>
      <c r="M17" s="60"/>
      <c r="N17" s="60"/>
    </row>
    <row r="18" spans="1:14" ht="19.5" thickBot="1">
      <c r="A18" s="527"/>
      <c r="B18" s="529" t="s">
        <v>20</v>
      </c>
      <c r="C18" s="209">
        <v>1</v>
      </c>
      <c r="D18" s="210">
        <f>ROUND(D19*1.2/10,100)*10</f>
        <v>900000</v>
      </c>
      <c r="E18" s="206">
        <f>1.025*92.25</f>
        <v>94.55624999999999</v>
      </c>
      <c r="F18" s="205">
        <f>ROUND(F19*1.2/10,100)*10</f>
        <v>1038000</v>
      </c>
      <c r="G18" s="206">
        <f>1.025*106.4</f>
        <v>109.06</v>
      </c>
      <c r="H18" s="207">
        <f>ROUND(H19*1.2/10,100)*10</f>
        <v>1224000</v>
      </c>
      <c r="I18" s="206">
        <f>1.025*125.46</f>
        <v>128.5965</v>
      </c>
      <c r="J18" s="59"/>
      <c r="K18" s="60"/>
      <c r="L18" s="60"/>
      <c r="M18" s="60"/>
      <c r="N18" s="60"/>
    </row>
    <row r="19" spans="1:14" ht="19.5" thickBot="1">
      <c r="A19" s="527"/>
      <c r="B19" s="530"/>
      <c r="C19" s="53">
        <v>2</v>
      </c>
      <c r="D19" s="205">
        <v>750000</v>
      </c>
      <c r="E19" s="57">
        <f>1.025*76.88</f>
        <v>78.80199999999999</v>
      </c>
      <c r="F19" s="203">
        <v>865000</v>
      </c>
      <c r="G19" s="202">
        <f>1.025*88.66</f>
        <v>90.8765</v>
      </c>
      <c r="H19" s="204">
        <v>1020000</v>
      </c>
      <c r="I19" s="202">
        <f>1.025*104.55</f>
        <v>107.16375</v>
      </c>
      <c r="J19" s="66"/>
      <c r="K19" s="60"/>
      <c r="L19" s="60"/>
      <c r="M19" s="60"/>
      <c r="N19" s="60"/>
    </row>
    <row r="20" spans="1:14" ht="19.5" thickBot="1">
      <c r="A20" s="527"/>
      <c r="B20" s="531"/>
      <c r="C20" s="209">
        <v>3</v>
      </c>
      <c r="D20" s="208">
        <f>ROUND(D19*0.8/10,100)*10</f>
        <v>600000</v>
      </c>
      <c r="E20" s="206">
        <f>1.025*61.5</f>
        <v>63.037499999999994</v>
      </c>
      <c r="F20" s="205">
        <f>ROUND(F19*0.8/10,100)*10</f>
        <v>692000</v>
      </c>
      <c r="G20" s="206">
        <f>1.025*70.93</f>
        <v>72.70325</v>
      </c>
      <c r="H20" s="207">
        <f>ROUND(H19*0.8/10,100)*10</f>
        <v>816000</v>
      </c>
      <c r="I20" s="206">
        <f>1.025*83.64</f>
        <v>85.731</v>
      </c>
      <c r="J20" s="59"/>
      <c r="K20" s="60"/>
      <c r="L20" s="60"/>
      <c r="M20" s="60"/>
      <c r="N20" s="60"/>
    </row>
    <row r="21" spans="1:14" ht="19.5" thickBot="1">
      <c r="A21" s="527"/>
      <c r="B21" s="529" t="s">
        <v>21</v>
      </c>
      <c r="C21" s="53">
        <v>1</v>
      </c>
      <c r="D21" s="210">
        <f>ROUND(D22*1.2/10,100)*10</f>
        <v>1374000</v>
      </c>
      <c r="E21" s="57">
        <f>1.025*140.84</f>
        <v>144.361</v>
      </c>
      <c r="F21" s="203">
        <f>ROUND(F22*1.2/10,100)*10</f>
        <v>1506000</v>
      </c>
      <c r="G21" s="202">
        <f>1.025*154.37</f>
        <v>158.22924999999998</v>
      </c>
      <c r="H21" s="204">
        <f>ROUND(H22*1.2/10,100)*10</f>
        <v>1704000</v>
      </c>
      <c r="I21" s="202">
        <f>1.025*174.66</f>
        <v>179.02649999999997</v>
      </c>
      <c r="J21" s="59"/>
      <c r="K21" s="60"/>
      <c r="L21" s="60"/>
      <c r="M21" s="60"/>
      <c r="N21" s="60"/>
    </row>
    <row r="22" spans="1:14" ht="19.5" thickBot="1">
      <c r="A22" s="527"/>
      <c r="B22" s="530"/>
      <c r="C22" s="53">
        <v>2</v>
      </c>
      <c r="D22" s="205">
        <v>1145000</v>
      </c>
      <c r="E22" s="85">
        <f>1.025*117.36</f>
        <v>120.29399999999998</v>
      </c>
      <c r="F22" s="189">
        <v>1255000</v>
      </c>
      <c r="G22" s="211">
        <f>1.025*128.64</f>
        <v>131.85599999999997</v>
      </c>
      <c r="H22" s="212">
        <v>1420000</v>
      </c>
      <c r="I22" s="211">
        <f>1.025*145.55</f>
        <v>149.18875</v>
      </c>
      <c r="J22" s="66"/>
      <c r="K22" s="60"/>
      <c r="L22" s="60"/>
      <c r="M22" s="60"/>
      <c r="N22" s="60"/>
    </row>
    <row r="23" spans="1:14" ht="19.5" thickBot="1">
      <c r="A23" s="527"/>
      <c r="B23" s="531"/>
      <c r="C23" s="86">
        <v>3</v>
      </c>
      <c r="D23" s="208">
        <f>ROUND(D22*0.8/10,100)*10</f>
        <v>916000</v>
      </c>
      <c r="E23" s="57">
        <f>1.025*93.89</f>
        <v>96.23724999999999</v>
      </c>
      <c r="F23" s="203">
        <f>ROUND(F22*0.8/10,100)*10</f>
        <v>1004000</v>
      </c>
      <c r="G23" s="202">
        <f>1.025*102.91</f>
        <v>105.48274999999998</v>
      </c>
      <c r="H23" s="213">
        <f>ROUND(H22*0.8/10,100)*10</f>
        <v>1136000</v>
      </c>
      <c r="I23" s="214">
        <f>1.025*116.44</f>
        <v>119.35099999999998</v>
      </c>
      <c r="J23" s="59"/>
      <c r="K23" s="60"/>
      <c r="L23" s="60"/>
      <c r="M23" s="60"/>
      <c r="N23" s="60"/>
    </row>
    <row r="24" spans="1:14" ht="19.5" thickBot="1">
      <c r="A24" s="527"/>
      <c r="B24" s="530" t="s">
        <v>22</v>
      </c>
      <c r="C24" s="53">
        <v>1</v>
      </c>
      <c r="D24" s="210">
        <f>ROUND(D25*1.2/10,100)*10</f>
        <v>1482000</v>
      </c>
      <c r="E24" s="85">
        <f>1.025*151.91</f>
        <v>155.70774999999998</v>
      </c>
      <c r="F24" s="205">
        <f>ROUND(F25*1.2/10,100)*10</f>
        <v>1656000</v>
      </c>
      <c r="G24" s="206">
        <f>1.025*169.74</f>
        <v>173.9835</v>
      </c>
      <c r="H24" s="215">
        <f>ROUND(H25*1.2/10,100)*10</f>
        <v>1836000</v>
      </c>
      <c r="I24" s="57">
        <f>1.025*188.19</f>
        <v>192.89475</v>
      </c>
      <c r="J24" s="59"/>
      <c r="K24" s="60"/>
      <c r="L24" s="60"/>
      <c r="M24" s="60"/>
      <c r="N24" s="60"/>
    </row>
    <row r="25" spans="1:14" ht="19.5" thickBot="1">
      <c r="A25" s="527"/>
      <c r="B25" s="530"/>
      <c r="C25" s="53">
        <v>2</v>
      </c>
      <c r="D25" s="205">
        <v>1235000</v>
      </c>
      <c r="E25" s="72">
        <f>1.025*126.59</f>
        <v>129.75475</v>
      </c>
      <c r="F25" s="205">
        <v>1380000</v>
      </c>
      <c r="G25" s="214">
        <f>1.025*141.45</f>
        <v>144.98624999999998</v>
      </c>
      <c r="H25" s="207">
        <v>1530000</v>
      </c>
      <c r="I25" s="206">
        <f>1.025*156.83</f>
        <v>160.75075</v>
      </c>
      <c r="J25" s="66"/>
      <c r="K25" s="60"/>
      <c r="L25" s="60"/>
      <c r="M25" s="60"/>
      <c r="N25" s="60"/>
    </row>
    <row r="26" spans="1:14" ht="19.5" thickBot="1">
      <c r="A26" s="528"/>
      <c r="B26" s="531"/>
      <c r="C26" s="125">
        <v>3</v>
      </c>
      <c r="D26" s="216">
        <f>ROUND(D25*0.8/10,100)*10</f>
        <v>988000</v>
      </c>
      <c r="E26" s="57">
        <f>1.025*101.27</f>
        <v>103.80174999999998</v>
      </c>
      <c r="F26" s="217">
        <f>ROUND(F25*0.8/10,100)*10</f>
        <v>1104000</v>
      </c>
      <c r="G26" s="202">
        <f>1.025*113.16</f>
        <v>115.98899999999999</v>
      </c>
      <c r="H26" s="218">
        <f>ROUND(H25*0.8/10,100)*10</f>
        <v>1224000</v>
      </c>
      <c r="I26" s="57">
        <f>1.025*125.46</f>
        <v>128.5965</v>
      </c>
      <c r="J26" s="182"/>
      <c r="K26" s="60"/>
      <c r="L26" s="60"/>
      <c r="M26" s="60"/>
      <c r="N26" s="60"/>
    </row>
    <row r="27" spans="1:14" ht="18.75">
      <c r="A27" s="497" t="s">
        <v>142</v>
      </c>
      <c r="B27" s="497"/>
      <c r="C27" s="497"/>
      <c r="D27" s="497"/>
      <c r="E27" s="497"/>
      <c r="F27" s="497"/>
      <c r="G27" s="497"/>
      <c r="H27" s="497"/>
      <c r="I27" s="497"/>
      <c r="J27" s="117"/>
      <c r="K27" s="118"/>
      <c r="L27" s="118"/>
      <c r="M27" s="118"/>
      <c r="N27" s="118"/>
    </row>
    <row r="28" spans="1:14" ht="16.5" thickBot="1">
      <c r="A28" s="492" t="s">
        <v>143</v>
      </c>
      <c r="B28" s="492"/>
      <c r="C28" s="492"/>
      <c r="D28" s="492"/>
      <c r="E28" s="492"/>
      <c r="F28" s="492"/>
      <c r="G28" s="492"/>
      <c r="H28" s="492"/>
      <c r="I28" s="492"/>
      <c r="J28" s="184"/>
      <c r="K28" s="118"/>
      <c r="L28" s="118"/>
      <c r="M28" s="118"/>
      <c r="N28" s="118"/>
    </row>
    <row r="29" spans="1:14" ht="19.5" thickBot="1">
      <c r="A29" s="556" t="s">
        <v>32</v>
      </c>
      <c r="B29" s="529" t="s">
        <v>23</v>
      </c>
      <c r="C29" s="123" t="s">
        <v>107</v>
      </c>
      <c r="D29" s="219">
        <f>ROUND(D30*1.2/10,100)*10</f>
        <v>1584000</v>
      </c>
      <c r="E29" s="202">
        <f>1.025*162.36</f>
        <v>166.419</v>
      </c>
      <c r="F29" s="203">
        <f>ROUND(F30*1.2/10,100)*10</f>
        <v>1698000</v>
      </c>
      <c r="G29" s="202">
        <f>1.025*174.05</f>
        <v>178.40125</v>
      </c>
      <c r="H29" s="204">
        <f>ROUND(H30*1.2/10,100)*10</f>
        <v>1902000</v>
      </c>
      <c r="I29" s="202">
        <f>1.025*194.96</f>
        <v>199.834</v>
      </c>
      <c r="J29" s="59"/>
      <c r="K29" s="60"/>
      <c r="L29" s="60"/>
      <c r="M29" s="60"/>
      <c r="N29" s="60"/>
    </row>
    <row r="30" spans="1:14" ht="19.5" thickBot="1">
      <c r="A30" s="599"/>
      <c r="B30" s="531"/>
      <c r="C30" s="75" t="s">
        <v>108</v>
      </c>
      <c r="D30" s="176">
        <v>1320000</v>
      </c>
      <c r="E30" s="220">
        <f>1.025*135.3</f>
        <v>138.6825</v>
      </c>
      <c r="F30" s="71">
        <v>1415000</v>
      </c>
      <c r="G30" s="65">
        <f>1.025*145.04</f>
        <v>148.66599999999997</v>
      </c>
      <c r="H30" s="221">
        <v>1585000</v>
      </c>
      <c r="I30" s="57">
        <f>1.025*162.46</f>
        <v>166.5215</v>
      </c>
      <c r="J30" s="66"/>
      <c r="K30" s="60"/>
      <c r="L30" s="60"/>
      <c r="M30" s="60"/>
      <c r="N30" s="60"/>
    </row>
    <row r="31" spans="1:14" ht="19.5" thickBot="1">
      <c r="A31" s="599"/>
      <c r="B31" s="529" t="s">
        <v>22</v>
      </c>
      <c r="C31" s="53" t="s">
        <v>107</v>
      </c>
      <c r="D31" s="210">
        <f>ROUND(D32*1.2/10,100)*10</f>
        <v>1728000</v>
      </c>
      <c r="E31" s="57">
        <f>1.025*177.12</f>
        <v>181.548</v>
      </c>
      <c r="F31" s="203">
        <f>ROUND(F32*1.2/10,100)*10</f>
        <v>1884000</v>
      </c>
      <c r="G31" s="202">
        <f>1.025*193.11</f>
        <v>197.93775</v>
      </c>
      <c r="H31" s="204">
        <f>ROUND(H32*1.2/10,100)*10</f>
        <v>1962000</v>
      </c>
      <c r="I31" s="202">
        <f>1.025*201.11</f>
        <v>206.13774999999998</v>
      </c>
      <c r="J31" s="59"/>
      <c r="K31" s="60"/>
      <c r="L31" s="60"/>
      <c r="M31" s="60"/>
      <c r="N31" s="60"/>
    </row>
    <row r="32" spans="1:14" ht="19.5" thickBot="1">
      <c r="A32" s="557"/>
      <c r="B32" s="531"/>
      <c r="C32" s="53" t="s">
        <v>108</v>
      </c>
      <c r="D32" s="189">
        <v>1440000</v>
      </c>
      <c r="E32" s="222">
        <f>1.025*147.6</f>
        <v>151.29</v>
      </c>
      <c r="F32" s="127">
        <v>1570000</v>
      </c>
      <c r="G32" s="65">
        <f>1.025*160.93</f>
        <v>164.95325</v>
      </c>
      <c r="H32" s="223">
        <v>1635000</v>
      </c>
      <c r="I32" s="57">
        <f>1.025*167.59</f>
        <v>171.77974999999998</v>
      </c>
      <c r="J32" s="66"/>
      <c r="K32" s="60"/>
      <c r="L32" s="60"/>
      <c r="M32" s="60"/>
      <c r="N32" s="60"/>
    </row>
    <row r="33" spans="1:14" ht="18.75">
      <c r="A33" s="497" t="s">
        <v>24</v>
      </c>
      <c r="B33" s="497"/>
      <c r="C33" s="497"/>
      <c r="D33" s="497"/>
      <c r="E33" s="497"/>
      <c r="F33" s="497"/>
      <c r="G33" s="497"/>
      <c r="H33" s="497"/>
      <c r="I33" s="497"/>
      <c r="J33" s="117"/>
      <c r="K33" s="118"/>
      <c r="L33" s="118"/>
      <c r="M33" s="118"/>
      <c r="N33" s="118"/>
    </row>
    <row r="34" spans="1:14" ht="16.5" thickBot="1">
      <c r="A34" s="547" t="s">
        <v>144</v>
      </c>
      <c r="B34" s="547"/>
      <c r="C34" s="547"/>
      <c r="D34" s="547"/>
      <c r="E34" s="547"/>
      <c r="F34" s="547"/>
      <c r="G34" s="547"/>
      <c r="H34" s="547"/>
      <c r="I34" s="547"/>
      <c r="J34" s="184"/>
      <c r="K34" s="118"/>
      <c r="L34" s="118"/>
      <c r="M34" s="118"/>
      <c r="N34" s="118"/>
    </row>
    <row r="35" spans="1:14" ht="30" customHeight="1" thickBot="1">
      <c r="A35" s="224" t="s">
        <v>34</v>
      </c>
      <c r="B35" s="53" t="s">
        <v>19</v>
      </c>
      <c r="C35" s="53" t="s">
        <v>108</v>
      </c>
      <c r="D35" s="225">
        <v>335000</v>
      </c>
      <c r="E35" s="226">
        <f>1.025*34.34</f>
        <v>35.1985</v>
      </c>
      <c r="F35" s="227">
        <v>440000</v>
      </c>
      <c r="G35" s="228">
        <f>1.025*45.1</f>
        <v>46.2275</v>
      </c>
      <c r="H35" s="138">
        <v>535000</v>
      </c>
      <c r="I35" s="147">
        <f>1.025*54.84</f>
        <v>56.211</v>
      </c>
      <c r="J35" s="132"/>
      <c r="K35" s="60"/>
      <c r="L35" s="60"/>
      <c r="M35" s="60"/>
      <c r="N35" s="60"/>
    </row>
    <row r="36" spans="1:14" ht="18.75">
      <c r="A36" s="497" t="s">
        <v>145</v>
      </c>
      <c r="B36" s="497"/>
      <c r="C36" s="497"/>
      <c r="D36" s="497"/>
      <c r="E36" s="497"/>
      <c r="F36" s="497"/>
      <c r="G36" s="497"/>
      <c r="H36" s="497"/>
      <c r="I36" s="497"/>
      <c r="J36" s="117"/>
      <c r="K36" s="118"/>
      <c r="L36" s="118"/>
      <c r="M36" s="118"/>
      <c r="N36" s="118"/>
    </row>
    <row r="37" spans="1:14" ht="16.5" thickBot="1">
      <c r="A37" s="492" t="s">
        <v>27</v>
      </c>
      <c r="B37" s="492"/>
      <c r="C37" s="492"/>
      <c r="D37" s="492"/>
      <c r="E37" s="492"/>
      <c r="F37" s="492"/>
      <c r="G37" s="492"/>
      <c r="H37" s="492"/>
      <c r="I37" s="492"/>
      <c r="J37" s="92"/>
      <c r="K37" s="118"/>
      <c r="L37" s="118"/>
      <c r="M37" s="118"/>
      <c r="N37" s="118"/>
    </row>
    <row r="38" spans="1:14" ht="42.75" customHeight="1" thickBot="1">
      <c r="A38" s="102" t="s">
        <v>36</v>
      </c>
      <c r="B38" s="53" t="s">
        <v>37</v>
      </c>
      <c r="C38" s="229" t="s">
        <v>146</v>
      </c>
      <c r="D38" s="225">
        <v>160000</v>
      </c>
      <c r="E38" s="228">
        <f>1.025*16.4</f>
        <v>16.81</v>
      </c>
      <c r="F38" s="136">
        <v>275000</v>
      </c>
      <c r="G38" s="147">
        <f>1.025*28.19</f>
        <v>28.89475</v>
      </c>
      <c r="H38" s="138">
        <v>335000</v>
      </c>
      <c r="I38" s="147">
        <f>1.025*34.34</f>
        <v>35.1985</v>
      </c>
      <c r="J38" s="132"/>
      <c r="K38" s="60"/>
      <c r="L38" s="60"/>
      <c r="M38" s="60"/>
      <c r="N38" s="60"/>
    </row>
    <row r="39" spans="1:14" ht="15.75" customHeight="1">
      <c r="A39" s="596" t="s">
        <v>147</v>
      </c>
      <c r="B39" s="596"/>
      <c r="C39" s="596"/>
      <c r="D39" s="596"/>
      <c r="E39" s="596"/>
      <c r="F39" s="596"/>
      <c r="G39" s="596"/>
      <c r="H39" s="596"/>
      <c r="I39" s="596"/>
      <c r="J39" s="230"/>
      <c r="K39" s="118"/>
      <c r="L39" s="118"/>
      <c r="M39" s="118"/>
      <c r="N39" s="118"/>
    </row>
    <row r="40" spans="1:14" ht="16.5" customHeight="1" thickBot="1">
      <c r="A40" s="597" t="s">
        <v>68</v>
      </c>
      <c r="B40" s="597"/>
      <c r="C40" s="597"/>
      <c r="D40" s="597"/>
      <c r="E40" s="597"/>
      <c r="F40" s="597"/>
      <c r="G40" s="597"/>
      <c r="H40" s="597"/>
      <c r="I40" s="597"/>
      <c r="J40" s="231"/>
      <c r="K40" s="118"/>
      <c r="L40" s="118"/>
      <c r="M40" s="118"/>
      <c r="N40" s="118"/>
    </row>
    <row r="41" spans="1:14" ht="45" customHeight="1">
      <c r="A41" s="526" t="s">
        <v>29</v>
      </c>
      <c r="B41" s="507" t="s">
        <v>25</v>
      </c>
      <c r="C41" s="583" t="s">
        <v>148</v>
      </c>
      <c r="D41" s="598">
        <v>120000</v>
      </c>
      <c r="E41" s="587">
        <f>1.025*12.3</f>
        <v>12.6075</v>
      </c>
      <c r="F41" s="598">
        <v>235000</v>
      </c>
      <c r="G41" s="587">
        <f>1.025*24.09</f>
        <v>24.692249999999998</v>
      </c>
      <c r="H41" s="509">
        <v>290000</v>
      </c>
      <c r="I41" s="498">
        <f>1.025*29.73</f>
        <v>30.473249999999997</v>
      </c>
      <c r="J41" s="132"/>
      <c r="K41" s="506"/>
      <c r="L41" s="506"/>
      <c r="M41" s="506"/>
      <c r="N41" s="506"/>
    </row>
    <row r="42" spans="1:14" ht="15.75" customHeight="1" thickBot="1">
      <c r="A42" s="527"/>
      <c r="B42" s="508"/>
      <c r="C42" s="584"/>
      <c r="D42" s="586"/>
      <c r="E42" s="588"/>
      <c r="F42" s="586"/>
      <c r="G42" s="588"/>
      <c r="H42" s="595"/>
      <c r="I42" s="582"/>
      <c r="J42" s="132"/>
      <c r="K42" s="506"/>
      <c r="L42" s="506"/>
      <c r="M42" s="506"/>
      <c r="N42" s="506"/>
    </row>
    <row r="43" spans="1:14" ht="22.5" customHeight="1">
      <c r="A43" s="527"/>
      <c r="B43" s="512" t="s">
        <v>26</v>
      </c>
      <c r="C43" s="583" t="s">
        <v>149</v>
      </c>
      <c r="D43" s="591">
        <v>105000</v>
      </c>
      <c r="E43" s="587">
        <f>1.025*10.76</f>
        <v>11.028999999999998</v>
      </c>
      <c r="F43" s="591">
        <v>220000</v>
      </c>
      <c r="G43" s="578">
        <f>1.025*22.55</f>
        <v>23.11375</v>
      </c>
      <c r="H43" s="580">
        <v>275000</v>
      </c>
      <c r="I43" s="498">
        <f>1.025*28.19</f>
        <v>28.89475</v>
      </c>
      <c r="J43" s="132"/>
      <c r="K43" s="506"/>
      <c r="L43" s="506"/>
      <c r="M43" s="506"/>
      <c r="N43" s="506"/>
    </row>
    <row r="44" spans="1:14" ht="37.5" customHeight="1" thickBot="1">
      <c r="A44" s="527"/>
      <c r="B44" s="512"/>
      <c r="C44" s="584"/>
      <c r="D44" s="591"/>
      <c r="E44" s="592"/>
      <c r="F44" s="591"/>
      <c r="G44" s="578"/>
      <c r="H44" s="594"/>
      <c r="I44" s="582"/>
      <c r="J44" s="132"/>
      <c r="K44" s="506"/>
      <c r="L44" s="506"/>
      <c r="M44" s="506"/>
      <c r="N44" s="506"/>
    </row>
    <row r="45" spans="1:14" ht="15" customHeight="1">
      <c r="A45" s="527"/>
      <c r="B45" s="529" t="s">
        <v>26</v>
      </c>
      <c r="C45" s="589" t="s">
        <v>150</v>
      </c>
      <c r="D45" s="585">
        <v>85000</v>
      </c>
      <c r="E45" s="587">
        <f>1.025*8.71</f>
        <v>8.92775</v>
      </c>
      <c r="F45" s="585">
        <v>200000</v>
      </c>
      <c r="G45" s="593">
        <f>1.025*20.5</f>
        <v>21.0125</v>
      </c>
      <c r="H45" s="580">
        <v>265000</v>
      </c>
      <c r="I45" s="498">
        <f>1.025*27.16</f>
        <v>27.839</v>
      </c>
      <c r="J45" s="132"/>
      <c r="K45" s="506"/>
      <c r="L45" s="506"/>
      <c r="M45" s="506"/>
      <c r="N45" s="506"/>
    </row>
    <row r="46" spans="1:14" ht="31.5" customHeight="1" thickBot="1">
      <c r="A46" s="527"/>
      <c r="B46" s="530"/>
      <c r="C46" s="590"/>
      <c r="D46" s="591"/>
      <c r="E46" s="592"/>
      <c r="F46" s="591"/>
      <c r="G46" s="579"/>
      <c r="H46" s="594"/>
      <c r="I46" s="582"/>
      <c r="J46" s="132"/>
      <c r="K46" s="506"/>
      <c r="L46" s="506"/>
      <c r="M46" s="506"/>
      <c r="N46" s="506"/>
    </row>
    <row r="47" spans="1:14" ht="15" customHeight="1">
      <c r="A47" s="527"/>
      <c r="B47" s="529" t="s">
        <v>26</v>
      </c>
      <c r="C47" s="583" t="s">
        <v>146</v>
      </c>
      <c r="D47" s="585">
        <v>320000</v>
      </c>
      <c r="E47" s="587">
        <f>1.025*32.8</f>
        <v>33.62</v>
      </c>
      <c r="F47" s="585">
        <v>430000</v>
      </c>
      <c r="G47" s="578">
        <f>1.025*44.08</f>
        <v>45.181999999999995</v>
      </c>
      <c r="H47" s="580">
        <v>475000</v>
      </c>
      <c r="I47" s="498">
        <f>1.025*48.69</f>
        <v>49.90724999999999</v>
      </c>
      <c r="J47" s="132"/>
      <c r="K47" s="506"/>
      <c r="L47" s="506"/>
      <c r="M47" s="506"/>
      <c r="N47" s="506"/>
    </row>
    <row r="48" spans="1:14" ht="22.5" customHeight="1" thickBot="1">
      <c r="A48" s="528"/>
      <c r="B48" s="531"/>
      <c r="C48" s="584"/>
      <c r="D48" s="586"/>
      <c r="E48" s="588"/>
      <c r="F48" s="586"/>
      <c r="G48" s="579"/>
      <c r="H48" s="581"/>
      <c r="I48" s="499"/>
      <c r="J48" s="132"/>
      <c r="K48" s="506"/>
      <c r="L48" s="506"/>
      <c r="M48" s="506"/>
      <c r="N48" s="506"/>
    </row>
    <row r="49" spans="1:9" ht="18.75">
      <c r="A49" s="8"/>
      <c r="B49" s="8"/>
      <c r="C49" s="8"/>
      <c r="D49" s="8"/>
      <c r="E49" s="8"/>
      <c r="F49" s="8"/>
      <c r="G49" s="8"/>
      <c r="H49" s="8"/>
      <c r="I49" s="8"/>
    </row>
    <row r="50" spans="1:9" ht="18.75">
      <c r="A50" s="8" t="s">
        <v>119</v>
      </c>
      <c r="B50" s="8"/>
      <c r="C50" s="8"/>
      <c r="D50" s="8"/>
      <c r="E50" s="8"/>
      <c r="F50" s="8"/>
      <c r="G50" s="8"/>
      <c r="H50" s="8"/>
      <c r="I50" s="193" t="s">
        <v>120</v>
      </c>
    </row>
  </sheetData>
  <sheetProtection/>
  <mergeCells count="81">
    <mergeCell ref="A6:I6"/>
    <mergeCell ref="A7:I7"/>
    <mergeCell ref="A8:I8"/>
    <mergeCell ref="A9:I9"/>
    <mergeCell ref="L9:M9"/>
    <mergeCell ref="A10:A12"/>
    <mergeCell ref="B10:B12"/>
    <mergeCell ref="C10:C12"/>
    <mergeCell ref="E10:I10"/>
    <mergeCell ref="D11:E11"/>
    <mergeCell ref="F11:G11"/>
    <mergeCell ref="H11:I11"/>
    <mergeCell ref="D12:I12"/>
    <mergeCell ref="K12:N12"/>
    <mergeCell ref="A13:I13"/>
    <mergeCell ref="A14:I14"/>
    <mergeCell ref="A15:A26"/>
    <mergeCell ref="B15:B17"/>
    <mergeCell ref="B18:B20"/>
    <mergeCell ref="B21:B23"/>
    <mergeCell ref="B24:B26"/>
    <mergeCell ref="A27:I27"/>
    <mergeCell ref="A28:I28"/>
    <mergeCell ref="A29:A32"/>
    <mergeCell ref="B29:B30"/>
    <mergeCell ref="B31:B32"/>
    <mergeCell ref="A33:I33"/>
    <mergeCell ref="A34:I34"/>
    <mergeCell ref="A36:I36"/>
    <mergeCell ref="A37:I37"/>
    <mergeCell ref="A39:I39"/>
    <mergeCell ref="A40:I40"/>
    <mergeCell ref="A41:A48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B47:B48"/>
    <mergeCell ref="C47:C48"/>
    <mergeCell ref="D47:D48"/>
    <mergeCell ref="E47:E48"/>
    <mergeCell ref="F47:F48"/>
    <mergeCell ref="N47:N48"/>
    <mergeCell ref="G47:G48"/>
    <mergeCell ref="H47:H48"/>
    <mergeCell ref="I47:I48"/>
    <mergeCell ref="K47:K48"/>
    <mergeCell ref="L47:L48"/>
    <mergeCell ref="M47:M48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1"/>
  <sheetViews>
    <sheetView view="pageBreakPreview" zoomScaleSheetLayoutView="100" zoomScalePageLayoutView="0" workbookViewId="0" topLeftCell="B1">
      <selection activeCell="B6" sqref="B6:I6"/>
    </sheetView>
  </sheetViews>
  <sheetFormatPr defaultColWidth="9.00390625" defaultRowHeight="12.75"/>
  <cols>
    <col min="1" max="1" width="9.125" style="0" hidden="1" customWidth="1"/>
    <col min="2" max="2" width="13.00390625" style="0" customWidth="1"/>
    <col min="3" max="3" width="16.125" style="0" customWidth="1"/>
    <col min="4" max="4" width="10.75390625" style="0" customWidth="1"/>
    <col min="5" max="5" width="9.125" style="0" hidden="1" customWidth="1"/>
    <col min="6" max="6" width="12.00390625" style="0" hidden="1" customWidth="1"/>
    <col min="7" max="7" width="30.875" style="0" customWidth="1"/>
    <col min="8" max="8" width="13.25390625" style="0" hidden="1" customWidth="1"/>
    <col min="9" max="9" width="32.125" style="0" customWidth="1"/>
    <col min="10" max="11" width="0" style="0" hidden="1" customWidth="1"/>
    <col min="12" max="12" width="11.625" style="0" hidden="1" customWidth="1"/>
    <col min="13" max="13" width="11.125" style="0" hidden="1" customWidth="1"/>
    <col min="14" max="14" width="11.625" style="0" hidden="1" customWidth="1"/>
    <col min="15" max="15" width="9.125" style="0" hidden="1" customWidth="1"/>
  </cols>
  <sheetData>
    <row r="1" spans="4:11" s="3" customFormat="1" ht="18.75">
      <c r="D1" s="16"/>
      <c r="E1" s="16"/>
      <c r="F1" s="16"/>
      <c r="H1" s="18"/>
      <c r="I1" s="19" t="str">
        <f>'[1]хв'!$G$1</f>
        <v>УТВЕРЖДАЮ</v>
      </c>
      <c r="J1" s="16"/>
      <c r="K1" s="154"/>
    </row>
    <row r="2" spans="4:15" s="3" customFormat="1" ht="18.75">
      <c r="D2" s="16"/>
      <c r="E2" s="16"/>
      <c r="F2" s="16"/>
      <c r="H2" s="22"/>
      <c r="I2" s="19" t="s">
        <v>89</v>
      </c>
      <c r="J2" s="7"/>
      <c r="K2" s="232"/>
      <c r="L2" s="233"/>
      <c r="M2" s="233"/>
      <c r="N2" s="233"/>
      <c r="O2" s="233"/>
    </row>
    <row r="3" spans="4:15" s="3" customFormat="1" ht="18.75">
      <c r="D3" s="16"/>
      <c r="E3" s="16"/>
      <c r="F3" s="16"/>
      <c r="G3" s="197"/>
      <c r="H3" s="196"/>
      <c r="I3" s="234" t="s">
        <v>151</v>
      </c>
      <c r="J3" s="7"/>
      <c r="K3" s="235"/>
      <c r="L3" s="233"/>
      <c r="M3" s="233"/>
      <c r="N3" s="233"/>
      <c r="O3" s="233"/>
    </row>
    <row r="4" spans="4:15" s="3" customFormat="1" ht="15.75">
      <c r="D4" s="16"/>
      <c r="E4" s="16"/>
      <c r="F4" s="16"/>
      <c r="G4" s="16"/>
      <c r="H4" s="156"/>
      <c r="I4" s="16" t="s">
        <v>92</v>
      </c>
      <c r="J4" s="7"/>
      <c r="K4" s="235"/>
      <c r="L4" s="233"/>
      <c r="M4" s="233"/>
      <c r="N4" s="233"/>
      <c r="O4" s="233"/>
    </row>
    <row r="5" spans="4:15" s="3" customFormat="1" ht="15.75">
      <c r="D5" s="16"/>
      <c r="E5" s="16"/>
      <c r="F5" s="16"/>
      <c r="G5" s="16"/>
      <c r="H5" s="156"/>
      <c r="I5" s="16" t="s">
        <v>93</v>
      </c>
      <c r="J5" s="7"/>
      <c r="K5" s="235"/>
      <c r="L5" s="233"/>
      <c r="M5" s="233"/>
      <c r="N5" s="233"/>
      <c r="O5" s="233"/>
    </row>
    <row r="6" spans="1:15" s="29" customFormat="1" ht="30.75" customHeight="1">
      <c r="A6" s="25"/>
      <c r="B6" s="532" t="s">
        <v>152</v>
      </c>
      <c r="C6" s="532"/>
      <c r="D6" s="532"/>
      <c r="E6" s="532"/>
      <c r="F6" s="532"/>
      <c r="G6" s="532"/>
      <c r="H6" s="532"/>
      <c r="I6" s="532"/>
      <c r="J6" s="236"/>
      <c r="K6" s="157"/>
      <c r="L6" s="157"/>
      <c r="M6" s="157"/>
      <c r="N6" s="161"/>
      <c r="O6" s="161"/>
    </row>
    <row r="7" spans="1:15" s="29" customFormat="1" ht="21" customHeight="1">
      <c r="A7" s="158"/>
      <c r="B7" s="643" t="s">
        <v>153</v>
      </c>
      <c r="C7" s="643"/>
      <c r="D7" s="643"/>
      <c r="E7" s="643"/>
      <c r="F7" s="643"/>
      <c r="G7" s="643"/>
      <c r="H7" s="643"/>
      <c r="I7" s="643"/>
      <c r="J7" s="159"/>
      <c r="K7" s="232"/>
      <c r="L7" s="161"/>
      <c r="M7" s="161"/>
      <c r="N7" s="161"/>
      <c r="O7" s="161"/>
    </row>
    <row r="8" spans="1:15" s="3" customFormat="1" ht="21" customHeight="1">
      <c r="A8" s="162"/>
      <c r="B8" s="629" t="s">
        <v>154</v>
      </c>
      <c r="C8" s="629"/>
      <c r="D8" s="629"/>
      <c r="E8" s="629"/>
      <c r="F8" s="629"/>
      <c r="G8" s="629"/>
      <c r="H8" s="629"/>
      <c r="I8" s="629"/>
      <c r="J8" s="238"/>
      <c r="K8" s="239"/>
      <c r="L8" s="233"/>
      <c r="M8" s="233"/>
      <c r="N8" s="233"/>
      <c r="O8" s="233"/>
    </row>
    <row r="9" spans="1:15" s="3" customFormat="1" ht="27.75" customHeight="1" thickBot="1">
      <c r="A9" s="42"/>
      <c r="B9" s="644" t="s">
        <v>155</v>
      </c>
      <c r="C9" s="644"/>
      <c r="D9" s="644"/>
      <c r="E9" s="644"/>
      <c r="F9" s="644"/>
      <c r="G9" s="644"/>
      <c r="H9" s="644"/>
      <c r="I9" s="644"/>
      <c r="J9" s="44"/>
      <c r="K9" s="164"/>
      <c r="L9" s="535"/>
      <c r="M9" s="535"/>
      <c r="N9" s="165"/>
      <c r="O9" s="233"/>
    </row>
    <row r="10" spans="1:15" s="3" customFormat="1" ht="32.25" customHeight="1" thickBot="1">
      <c r="A10" s="91"/>
      <c r="B10" s="645" t="s">
        <v>156</v>
      </c>
      <c r="C10" s="648" t="s">
        <v>157</v>
      </c>
      <c r="D10" s="648" t="s">
        <v>39</v>
      </c>
      <c r="E10" s="651" t="s">
        <v>158</v>
      </c>
      <c r="F10" s="652"/>
      <c r="G10" s="652"/>
      <c r="H10" s="652"/>
      <c r="I10" s="653"/>
      <c r="J10" s="44"/>
      <c r="K10" s="654"/>
      <c r="L10" s="654"/>
      <c r="M10" s="654"/>
      <c r="N10" s="654"/>
      <c r="O10" s="233"/>
    </row>
    <row r="11" spans="1:15" s="3" customFormat="1" ht="25.5" customHeight="1" thickBot="1">
      <c r="A11" s="91"/>
      <c r="B11" s="646"/>
      <c r="C11" s="649"/>
      <c r="D11" s="649"/>
      <c r="E11" s="43" t="s">
        <v>159</v>
      </c>
      <c r="F11" s="43" t="s">
        <v>98</v>
      </c>
      <c r="G11" s="538" t="s">
        <v>99</v>
      </c>
      <c r="H11" s="539"/>
      <c r="I11" s="575"/>
      <c r="J11" s="44"/>
      <c r="K11" s="45"/>
      <c r="L11" s="45"/>
      <c r="M11" s="45"/>
      <c r="N11" s="45"/>
      <c r="O11" s="233"/>
    </row>
    <row r="12" spans="1:15" s="3" customFormat="1" ht="26.25" customHeight="1" thickBot="1">
      <c r="A12" s="91"/>
      <c r="B12" s="647"/>
      <c r="C12" s="650"/>
      <c r="D12" s="650"/>
      <c r="E12" s="240"/>
      <c r="F12" s="642" t="s">
        <v>160</v>
      </c>
      <c r="G12" s="542"/>
      <c r="H12" s="523" t="s">
        <v>161</v>
      </c>
      <c r="I12" s="522"/>
      <c r="J12" s="47"/>
      <c r="K12" s="48"/>
      <c r="L12" s="48"/>
      <c r="M12" s="48"/>
      <c r="N12" s="48"/>
      <c r="O12" s="233"/>
    </row>
    <row r="13" spans="1:15" s="3" customFormat="1" ht="26.25" customHeight="1" thickBot="1">
      <c r="A13" s="4"/>
      <c r="B13" s="629" t="s">
        <v>162</v>
      </c>
      <c r="C13" s="629"/>
      <c r="D13" s="629"/>
      <c r="E13" s="629"/>
      <c r="F13" s="629"/>
      <c r="G13" s="629"/>
      <c r="H13" s="629"/>
      <c r="I13" s="629"/>
      <c r="J13" s="5"/>
      <c r="K13" s="51"/>
      <c r="L13" s="51"/>
      <c r="M13" s="51"/>
      <c r="N13" s="51"/>
      <c r="O13" s="233"/>
    </row>
    <row r="14" spans="1:15" s="3" customFormat="1" ht="24.75" customHeight="1" thickBot="1">
      <c r="A14" s="4"/>
      <c r="B14" s="526" t="s">
        <v>62</v>
      </c>
      <c r="C14" s="529" t="s">
        <v>163</v>
      </c>
      <c r="D14" s="75">
        <v>1</v>
      </c>
      <c r="E14" s="219">
        <f>ROUND(E15*1.2/10,100)*10</f>
        <v>0</v>
      </c>
      <c r="F14" s="241">
        <f>ROUND(F15*1.2/10,100)*10</f>
        <v>1557600</v>
      </c>
      <c r="G14" s="242">
        <f>168.55*1.03*1.05</f>
        <v>182.28682500000002</v>
      </c>
      <c r="H14" s="243">
        <f>ROUND(H15*1.2/10,100)*10</f>
        <v>1009800</v>
      </c>
      <c r="I14" s="242">
        <f>109.27*1.03*1.05</f>
        <v>118.17550500000002</v>
      </c>
      <c r="J14" s="59"/>
      <c r="K14" s="60"/>
      <c r="L14" s="60"/>
      <c r="M14" s="60"/>
      <c r="N14" s="60"/>
      <c r="O14" s="233"/>
    </row>
    <row r="15" spans="1:15" s="3" customFormat="1" ht="26.25" customHeight="1" thickBot="1">
      <c r="A15" s="4"/>
      <c r="B15" s="527"/>
      <c r="C15" s="530"/>
      <c r="D15" s="53">
        <v>2</v>
      </c>
      <c r="E15" s="203"/>
      <c r="F15" s="244">
        <f>1.1*F19</f>
        <v>1298000</v>
      </c>
      <c r="G15" s="124">
        <f>140.47*1.03*1.05</f>
        <v>151.918305</v>
      </c>
      <c r="H15" s="181">
        <f>1.1*H19</f>
        <v>841500.0000000001</v>
      </c>
      <c r="I15" s="124">
        <f>91.06*1.03*1.05</f>
        <v>98.48139000000002</v>
      </c>
      <c r="J15" s="66"/>
      <c r="K15" s="60"/>
      <c r="L15" s="60"/>
      <c r="M15" s="60"/>
      <c r="N15" s="60"/>
      <c r="O15" s="233"/>
    </row>
    <row r="16" spans="1:15" s="3" customFormat="1" ht="24.75" customHeight="1" thickBot="1">
      <c r="A16" s="4"/>
      <c r="B16" s="527"/>
      <c r="C16" s="530"/>
      <c r="D16" s="53" t="s">
        <v>77</v>
      </c>
      <c r="E16" s="203"/>
      <c r="F16" s="245">
        <f>ROUND(F15*0.8/10,100)*10</f>
        <v>1038400</v>
      </c>
      <c r="G16" s="124">
        <f>112.37*1.03*1.05</f>
        <v>121.52815500000001</v>
      </c>
      <c r="H16" s="246">
        <f>ROUND(H15*0.8/10,100)*10</f>
        <v>673200</v>
      </c>
      <c r="I16" s="124">
        <f>72.85*1.03*1.05</f>
        <v>78.78727500000001</v>
      </c>
      <c r="J16" s="66"/>
      <c r="K16" s="60"/>
      <c r="L16" s="60"/>
      <c r="M16" s="60"/>
      <c r="N16" s="60"/>
      <c r="O16" s="233"/>
    </row>
    <row r="17" spans="1:15" s="3" customFormat="1" ht="25.5" customHeight="1" thickBot="1">
      <c r="A17" s="4"/>
      <c r="B17" s="527"/>
      <c r="C17" s="531"/>
      <c r="D17" s="53" t="s">
        <v>78</v>
      </c>
      <c r="E17" s="201">
        <f>ROUND(E15*0.8/10,100)*10</f>
        <v>0</v>
      </c>
      <c r="F17" s="245">
        <v>726900</v>
      </c>
      <c r="G17" s="124">
        <f>78.66*1.03*1.05</f>
        <v>85.07079</v>
      </c>
      <c r="H17" s="246">
        <v>471200</v>
      </c>
      <c r="I17" s="124">
        <f>50.99*1.03*1.05</f>
        <v>55.145685</v>
      </c>
      <c r="J17" s="59"/>
      <c r="K17" s="60"/>
      <c r="L17" s="60"/>
      <c r="M17" s="60"/>
      <c r="N17" s="60"/>
      <c r="O17" s="233"/>
    </row>
    <row r="18" spans="1:15" s="3" customFormat="1" ht="23.25" customHeight="1" thickBot="1">
      <c r="A18" s="4"/>
      <c r="B18" s="527"/>
      <c r="C18" s="529" t="s">
        <v>164</v>
      </c>
      <c r="D18" s="53">
        <v>1</v>
      </c>
      <c r="E18" s="201">
        <f>ROUND(E19*1.2/10,100)*10</f>
        <v>0</v>
      </c>
      <c r="F18" s="245">
        <f>ROUND(F19*1.2/10,100)*10</f>
        <v>1416000</v>
      </c>
      <c r="G18" s="124">
        <f>153.23*1.03*1.05</f>
        <v>165.718245</v>
      </c>
      <c r="H18" s="246">
        <f>ROUND(H19*1.2/10,100)*10</f>
        <v>918000</v>
      </c>
      <c r="I18" s="124">
        <f>99.34*1.03*1.05</f>
        <v>107.43621</v>
      </c>
      <c r="J18" s="59"/>
      <c r="K18" s="60"/>
      <c r="L18" s="60"/>
      <c r="M18" s="60"/>
      <c r="N18" s="60"/>
      <c r="O18" s="233"/>
    </row>
    <row r="19" spans="1:15" s="3" customFormat="1" ht="22.5" customHeight="1" thickBot="1">
      <c r="A19" s="4"/>
      <c r="B19" s="527"/>
      <c r="C19" s="530"/>
      <c r="D19" s="53">
        <v>2</v>
      </c>
      <c r="E19" s="203"/>
      <c r="F19" s="244">
        <v>1180000</v>
      </c>
      <c r="G19" s="124">
        <f>127.69*1.03*1.05</f>
        <v>138.09673500000002</v>
      </c>
      <c r="H19" s="181">
        <v>765000</v>
      </c>
      <c r="I19" s="124">
        <f>82.78*1.03*1.05</f>
        <v>89.52657</v>
      </c>
      <c r="J19" s="66"/>
      <c r="K19" s="60"/>
      <c r="L19" s="60"/>
      <c r="M19" s="60"/>
      <c r="N19" s="60"/>
      <c r="O19" s="233"/>
    </row>
    <row r="20" spans="1:15" s="3" customFormat="1" ht="22.5" customHeight="1" thickBot="1">
      <c r="A20" s="4"/>
      <c r="B20" s="527"/>
      <c r="C20" s="530"/>
      <c r="D20" s="53" t="s">
        <v>77</v>
      </c>
      <c r="E20" s="203"/>
      <c r="F20" s="245">
        <f>ROUND(F19*0.8/10,100)*10</f>
        <v>944000</v>
      </c>
      <c r="G20" s="124">
        <f>102.16*1.03*1.05</f>
        <v>110.48604</v>
      </c>
      <c r="H20" s="246">
        <f>ROUND(H19*0.8/10,100)*10</f>
        <v>612000</v>
      </c>
      <c r="I20" s="124">
        <f>66.23*1.03*1.05</f>
        <v>71.62774500000002</v>
      </c>
      <c r="J20" s="66"/>
      <c r="K20" s="60"/>
      <c r="L20" s="60"/>
      <c r="M20" s="60"/>
      <c r="N20" s="60"/>
      <c r="O20" s="233"/>
    </row>
    <row r="21" spans="1:15" s="3" customFormat="1" ht="21" customHeight="1" thickBot="1">
      <c r="A21" s="4"/>
      <c r="B21" s="527"/>
      <c r="C21" s="531"/>
      <c r="D21" s="53" t="s">
        <v>78</v>
      </c>
      <c r="E21" s="201">
        <f>ROUND(E19*0.8/10,100)*10</f>
        <v>0</v>
      </c>
      <c r="F21" s="245">
        <f>ROUND(F19*0.56/10,100)*10</f>
        <v>660800</v>
      </c>
      <c r="G21" s="124">
        <f>71.5*1.03*1.05</f>
        <v>77.32724999999999</v>
      </c>
      <c r="H21" s="246">
        <f>ROUND(H19*0.56/10,100)*10</f>
        <v>428400</v>
      </c>
      <c r="I21" s="124">
        <f>46.36*1.03*1.05</f>
        <v>50.13834</v>
      </c>
      <c r="J21" s="59"/>
      <c r="K21" s="60"/>
      <c r="L21" s="60"/>
      <c r="M21" s="60"/>
      <c r="N21" s="60"/>
      <c r="O21" s="233"/>
    </row>
    <row r="22" spans="1:15" s="3" customFormat="1" ht="24" customHeight="1" thickBot="1">
      <c r="A22" s="4"/>
      <c r="B22" s="527"/>
      <c r="C22" s="530" t="s">
        <v>41</v>
      </c>
      <c r="D22" s="53">
        <v>1</v>
      </c>
      <c r="E22" s="201">
        <f>ROUND(E23*1.2/10,100)*10</f>
        <v>0</v>
      </c>
      <c r="F22" s="245">
        <f>ROUND(F23*1.2/10,100)*10</f>
        <v>1699200</v>
      </c>
      <c r="G22" s="124">
        <f>183.88*1.03*1.05</f>
        <v>198.86622</v>
      </c>
      <c r="H22" s="181">
        <f>ROUND(H23*1.2/10,100)*10</f>
        <v>1101600</v>
      </c>
      <c r="I22" s="124">
        <f>119.2*1.03*1.05</f>
        <v>128.9148</v>
      </c>
      <c r="J22" s="59"/>
      <c r="K22" s="60"/>
      <c r="L22" s="60"/>
      <c r="M22" s="60"/>
      <c r="N22" s="60"/>
      <c r="O22" s="233"/>
    </row>
    <row r="23" spans="1:15" s="3" customFormat="1" ht="21.75" customHeight="1" thickBot="1">
      <c r="A23" s="4"/>
      <c r="B23" s="527"/>
      <c r="C23" s="530"/>
      <c r="D23" s="86">
        <v>2</v>
      </c>
      <c r="E23" s="205"/>
      <c r="F23" s="247">
        <f>F19*1.2</f>
        <v>1416000</v>
      </c>
      <c r="G23" s="178">
        <f>153.23*1.03*1.05</f>
        <v>165.718245</v>
      </c>
      <c r="H23" s="248">
        <f>H19*1.2</f>
        <v>918000</v>
      </c>
      <c r="I23" s="178">
        <f>99.34*1.03*1.05</f>
        <v>107.43621</v>
      </c>
      <c r="J23" s="66"/>
      <c r="K23" s="60"/>
      <c r="L23" s="60"/>
      <c r="M23" s="60"/>
      <c r="N23" s="60"/>
      <c r="O23" s="233"/>
    </row>
    <row r="24" spans="1:15" s="3" customFormat="1" ht="23.25" customHeight="1" thickBot="1">
      <c r="A24" s="4"/>
      <c r="B24" s="527"/>
      <c r="C24" s="531"/>
      <c r="D24" s="53" t="s">
        <v>77</v>
      </c>
      <c r="E24" s="203"/>
      <c r="F24" s="245">
        <f>ROUND(F23*0.8/10,100)*10</f>
        <v>1132800</v>
      </c>
      <c r="G24" s="124">
        <f>122.58*1.03*1.05</f>
        <v>132.57027000000002</v>
      </c>
      <c r="H24" s="246">
        <f>ROUND(H23*0.8/10,100)*10</f>
        <v>734400</v>
      </c>
      <c r="I24" s="124">
        <f>79.47*1.03*1.05</f>
        <v>85.94680500000001</v>
      </c>
      <c r="J24" s="66"/>
      <c r="K24" s="60"/>
      <c r="L24" s="60"/>
      <c r="M24" s="60"/>
      <c r="N24" s="60"/>
      <c r="O24" s="233"/>
    </row>
    <row r="25" spans="1:15" s="3" customFormat="1" ht="25.5" customHeight="1" thickBot="1">
      <c r="A25" s="4"/>
      <c r="B25" s="527"/>
      <c r="C25" s="530" t="s">
        <v>165</v>
      </c>
      <c r="D25" s="53">
        <v>1</v>
      </c>
      <c r="E25" s="201">
        <f>ROUND(E26*1.2/10,100)*10</f>
        <v>0</v>
      </c>
      <c r="F25" s="245">
        <f>ROUND(F26*1.2/10,100)*10</f>
        <v>1840800</v>
      </c>
      <c r="G25" s="124">
        <f>199.2*1.03*1.05</f>
        <v>215.4348</v>
      </c>
      <c r="H25" s="246">
        <f>ROUND(H26*1.2/10,100)*10</f>
        <v>1193400</v>
      </c>
      <c r="I25" s="124">
        <f>129.14*1.03*1.05</f>
        <v>139.66491</v>
      </c>
      <c r="J25" s="59"/>
      <c r="K25" s="60"/>
      <c r="L25" s="60"/>
      <c r="M25" s="60"/>
      <c r="N25" s="60"/>
      <c r="O25" s="233"/>
    </row>
    <row r="26" spans="1:15" s="3" customFormat="1" ht="24.75" customHeight="1" thickBot="1">
      <c r="A26" s="4"/>
      <c r="B26" s="527"/>
      <c r="C26" s="530"/>
      <c r="D26" s="53">
        <v>2</v>
      </c>
      <c r="E26" s="203"/>
      <c r="F26" s="244">
        <f>F19*1.3</f>
        <v>1534000</v>
      </c>
      <c r="G26" s="124">
        <f>166.01*1.03*1.05</f>
        <v>179.539815</v>
      </c>
      <c r="H26" s="181">
        <f>H19*1.3</f>
        <v>994500</v>
      </c>
      <c r="I26" s="124">
        <f>107.62*1.03*1.05</f>
        <v>116.39103000000001</v>
      </c>
      <c r="J26" s="66"/>
      <c r="K26" s="60"/>
      <c r="L26" s="60"/>
      <c r="M26" s="60"/>
      <c r="N26" s="60"/>
      <c r="O26" s="233"/>
    </row>
    <row r="27" spans="1:15" s="3" customFormat="1" ht="24" customHeight="1" thickBot="1">
      <c r="A27" s="4"/>
      <c r="B27" s="527"/>
      <c r="C27" s="531"/>
      <c r="D27" s="89">
        <v>3</v>
      </c>
      <c r="E27" s="216">
        <f>ROUND(E26*0.8/10,100)*10</f>
        <v>0</v>
      </c>
      <c r="F27" s="249">
        <f>ROUND(F26*0.8/10,100)*10</f>
        <v>1227200</v>
      </c>
      <c r="G27" s="250">
        <f>132.8*1.03*1.05</f>
        <v>143.62320000000003</v>
      </c>
      <c r="H27" s="251">
        <f>ROUND(H26*0.8/10,100)*10</f>
        <v>795600</v>
      </c>
      <c r="I27" s="250">
        <f>86.1*1.03*1.05</f>
        <v>93.11715</v>
      </c>
      <c r="J27" s="182"/>
      <c r="K27" s="60"/>
      <c r="L27" s="60"/>
      <c r="M27" s="60"/>
      <c r="N27" s="60"/>
      <c r="O27" s="233"/>
    </row>
    <row r="28" spans="1:15" s="3" customFormat="1" ht="23.25" customHeight="1" thickBot="1">
      <c r="A28" s="4"/>
      <c r="B28" s="61"/>
      <c r="C28" s="53" t="s">
        <v>42</v>
      </c>
      <c r="D28" s="53" t="s">
        <v>78</v>
      </c>
      <c r="E28" s="252"/>
      <c r="F28" s="253">
        <v>230000</v>
      </c>
      <c r="G28" s="254">
        <f>24.9*1.03*1.05</f>
        <v>26.92935</v>
      </c>
      <c r="H28" s="252"/>
      <c r="I28" s="255"/>
      <c r="J28" s="182"/>
      <c r="K28" s="60"/>
      <c r="L28" s="60"/>
      <c r="M28" s="60"/>
      <c r="N28" s="60"/>
      <c r="O28" s="233"/>
    </row>
    <row r="29" spans="1:15" s="3" customFormat="1" ht="24" customHeight="1" thickBot="1">
      <c r="A29" s="4"/>
      <c r="B29" s="88"/>
      <c r="C29" s="53" t="s">
        <v>43</v>
      </c>
      <c r="D29" s="256" t="s">
        <v>78</v>
      </c>
      <c r="E29" s="252"/>
      <c r="F29" s="257"/>
      <c r="G29" s="258"/>
      <c r="H29" s="259">
        <v>140000</v>
      </c>
      <c r="I29" s="124">
        <f>15.15*1.03*1.05</f>
        <v>16.384725000000003</v>
      </c>
      <c r="J29" s="182"/>
      <c r="K29" s="60"/>
      <c r="L29" s="60"/>
      <c r="M29" s="60"/>
      <c r="N29" s="60"/>
      <c r="O29" s="233"/>
    </row>
    <row r="30" spans="1:15" s="3" customFormat="1" ht="24" customHeight="1">
      <c r="A30" s="4"/>
      <c r="B30" s="631" t="s">
        <v>166</v>
      </c>
      <c r="C30" s="631"/>
      <c r="D30" s="631"/>
      <c r="E30" s="631"/>
      <c r="F30" s="631"/>
      <c r="G30" s="631"/>
      <c r="H30" s="631"/>
      <c r="I30" s="631"/>
      <c r="J30" s="182"/>
      <c r="K30" s="60"/>
      <c r="L30" s="60"/>
      <c r="M30" s="60"/>
      <c r="N30" s="60"/>
      <c r="O30" s="233"/>
    </row>
    <row r="31" spans="1:15" s="3" customFormat="1" ht="21" customHeight="1" thickBot="1">
      <c r="A31" s="4"/>
      <c r="B31" s="632" t="s">
        <v>167</v>
      </c>
      <c r="C31" s="632"/>
      <c r="D31" s="632"/>
      <c r="E31" s="632"/>
      <c r="F31" s="632"/>
      <c r="G31" s="632"/>
      <c r="H31" s="632"/>
      <c r="I31" s="632"/>
      <c r="J31" s="182"/>
      <c r="K31" s="60"/>
      <c r="L31" s="60"/>
      <c r="M31" s="60"/>
      <c r="N31" s="60"/>
      <c r="O31" s="233"/>
    </row>
    <row r="32" spans="1:15" s="3" customFormat="1" ht="19.5" customHeight="1" thickBot="1">
      <c r="A32" s="260"/>
      <c r="B32" s="633" t="s">
        <v>62</v>
      </c>
      <c r="C32" s="633" t="s">
        <v>168</v>
      </c>
      <c r="D32" s="261">
        <v>1</v>
      </c>
      <c r="E32" s="262"/>
      <c r="F32" s="263"/>
      <c r="G32" s="264">
        <v>219.7</v>
      </c>
      <c r="H32" s="265"/>
      <c r="I32" s="266">
        <v>144.4</v>
      </c>
      <c r="J32" s="182"/>
      <c r="K32" s="60"/>
      <c r="L32" s="60"/>
      <c r="M32" s="60"/>
      <c r="N32" s="60"/>
      <c r="O32" s="233"/>
    </row>
    <row r="33" spans="1:15" s="3" customFormat="1" ht="16.5" customHeight="1" thickBot="1">
      <c r="A33" s="260"/>
      <c r="B33" s="633"/>
      <c r="C33" s="633"/>
      <c r="D33" s="267">
        <v>2</v>
      </c>
      <c r="E33" s="268"/>
      <c r="F33" s="269"/>
      <c r="G33" s="270">
        <v>183.1</v>
      </c>
      <c r="H33" s="271"/>
      <c r="I33" s="272">
        <v>120.3</v>
      </c>
      <c r="J33" s="182"/>
      <c r="K33" s="60"/>
      <c r="L33" s="60"/>
      <c r="M33" s="60"/>
      <c r="N33" s="60"/>
      <c r="O33" s="233"/>
    </row>
    <row r="34" spans="1:15" s="3" customFormat="1" ht="15" customHeight="1" thickBot="1">
      <c r="A34" s="260"/>
      <c r="B34" s="633"/>
      <c r="C34" s="634"/>
      <c r="D34" s="273">
        <v>3</v>
      </c>
      <c r="E34" s="274"/>
      <c r="F34" s="275"/>
      <c r="G34" s="276">
        <v>146.5</v>
      </c>
      <c r="H34" s="275"/>
      <c r="I34" s="276">
        <v>96.2</v>
      </c>
      <c r="J34" s="182"/>
      <c r="K34" s="60"/>
      <c r="L34" s="60"/>
      <c r="M34" s="60"/>
      <c r="N34" s="60"/>
      <c r="O34" s="233"/>
    </row>
    <row r="35" spans="1:15" s="3" customFormat="1" ht="27" customHeight="1" thickBot="1">
      <c r="A35" s="4"/>
      <c r="B35" s="635" t="s">
        <v>169</v>
      </c>
      <c r="C35" s="636"/>
      <c r="D35" s="636"/>
      <c r="E35" s="636"/>
      <c r="F35" s="636"/>
      <c r="G35" s="636"/>
      <c r="H35" s="636"/>
      <c r="I35" s="637"/>
      <c r="J35" s="182"/>
      <c r="K35" s="60"/>
      <c r="L35" s="60"/>
      <c r="M35" s="60"/>
      <c r="N35" s="60"/>
      <c r="O35" s="233"/>
    </row>
    <row r="36" spans="1:15" s="3" customFormat="1" ht="21.75" customHeight="1" thickBot="1">
      <c r="A36" s="4"/>
      <c r="B36" s="638" t="s">
        <v>62</v>
      </c>
      <c r="C36" s="641" t="s">
        <v>170</v>
      </c>
      <c r="D36" s="277">
        <v>1</v>
      </c>
      <c r="E36" s="278"/>
      <c r="F36" s="279"/>
      <c r="G36" s="280">
        <v>228.6</v>
      </c>
      <c r="H36" s="278"/>
      <c r="I36" s="280">
        <v>165.8</v>
      </c>
      <c r="J36" s="182"/>
      <c r="K36" s="60"/>
      <c r="L36" s="60"/>
      <c r="M36" s="60"/>
      <c r="N36" s="60"/>
      <c r="O36" s="233"/>
    </row>
    <row r="37" spans="1:15" s="3" customFormat="1" ht="18.75" customHeight="1" thickBot="1">
      <c r="A37" s="4"/>
      <c r="B37" s="639"/>
      <c r="C37" s="633"/>
      <c r="D37" s="267">
        <v>2</v>
      </c>
      <c r="E37" s="268"/>
      <c r="F37" s="269"/>
      <c r="G37" s="281">
        <v>190.5</v>
      </c>
      <c r="H37" s="271"/>
      <c r="I37" s="282">
        <v>138.2</v>
      </c>
      <c r="J37" s="182"/>
      <c r="K37" s="60"/>
      <c r="L37" s="60"/>
      <c r="M37" s="60"/>
      <c r="N37" s="60"/>
      <c r="O37" s="233"/>
    </row>
    <row r="38" spans="1:15" s="3" customFormat="1" ht="19.5" customHeight="1" thickBot="1">
      <c r="A38" s="4"/>
      <c r="B38" s="640"/>
      <c r="C38" s="634"/>
      <c r="D38" s="267">
        <v>3</v>
      </c>
      <c r="E38" s="283"/>
      <c r="F38" s="284"/>
      <c r="G38" s="281">
        <v>152.4</v>
      </c>
      <c r="H38" s="285"/>
      <c r="I38" s="286">
        <v>110.6</v>
      </c>
      <c r="J38" s="182"/>
      <c r="K38" s="60"/>
      <c r="L38" s="60"/>
      <c r="M38" s="60"/>
      <c r="N38" s="60"/>
      <c r="O38" s="233"/>
    </row>
    <row r="39" spans="1:15" s="3" customFormat="1" ht="19.5" customHeight="1">
      <c r="A39" s="116"/>
      <c r="B39" s="629" t="s">
        <v>171</v>
      </c>
      <c r="C39" s="629"/>
      <c r="D39" s="629"/>
      <c r="E39" s="629"/>
      <c r="F39" s="629"/>
      <c r="G39" s="629"/>
      <c r="H39" s="629"/>
      <c r="I39" s="629"/>
      <c r="J39" s="5"/>
      <c r="K39" s="51"/>
      <c r="L39" s="51"/>
      <c r="M39" s="51"/>
      <c r="N39" s="51"/>
      <c r="O39" s="233"/>
    </row>
    <row r="40" spans="1:15" s="3" customFormat="1" ht="23.25" customHeight="1" thickBot="1">
      <c r="A40" s="116"/>
      <c r="B40" s="237"/>
      <c r="C40" s="237"/>
      <c r="D40" s="237"/>
      <c r="E40" s="237"/>
      <c r="F40" s="237"/>
      <c r="G40" s="237" t="s">
        <v>172</v>
      </c>
      <c r="H40" s="237"/>
      <c r="I40" s="237"/>
      <c r="J40" s="5"/>
      <c r="K40" s="51"/>
      <c r="L40" s="51"/>
      <c r="M40" s="51"/>
      <c r="N40" s="51"/>
      <c r="O40" s="233"/>
    </row>
    <row r="41" spans="1:15" s="3" customFormat="1" ht="19.5" thickBot="1">
      <c r="A41" s="91"/>
      <c r="B41" s="526" t="s">
        <v>36</v>
      </c>
      <c r="C41" s="529" t="s">
        <v>164</v>
      </c>
      <c r="D41" s="169">
        <v>1</v>
      </c>
      <c r="E41" s="241">
        <f>ROUND(E42*1.2/10,100)*10</f>
        <v>0</v>
      </c>
      <c r="F41" s="170">
        <f>ROUND(F42*1.2/10,100)*10</f>
        <v>2640000</v>
      </c>
      <c r="G41" s="97">
        <f>277.37*1.03</f>
        <v>285.6911</v>
      </c>
      <c r="H41" s="119">
        <f>ROUND(H42*1.2/10,100)*10</f>
        <v>1710000</v>
      </c>
      <c r="I41" s="120">
        <f>185.05*1.03</f>
        <v>190.60150000000002</v>
      </c>
      <c r="J41" s="59"/>
      <c r="K41" s="60"/>
      <c r="L41" s="60"/>
      <c r="M41" s="60"/>
      <c r="N41" s="60"/>
      <c r="O41" s="233"/>
    </row>
    <row r="42" spans="1:15" s="3" customFormat="1" ht="19.5" thickBot="1">
      <c r="A42" s="91"/>
      <c r="B42" s="527"/>
      <c r="C42" s="530"/>
      <c r="D42" s="63">
        <v>2</v>
      </c>
      <c r="E42" s="244"/>
      <c r="F42" s="64">
        <v>2200000</v>
      </c>
      <c r="G42" s="57">
        <f>231.14*1.03</f>
        <v>238.0742</v>
      </c>
      <c r="H42" s="87">
        <v>1425000</v>
      </c>
      <c r="I42" s="58">
        <f>154.2*1.03</f>
        <v>158.826</v>
      </c>
      <c r="J42" s="66"/>
      <c r="K42" s="60"/>
      <c r="L42" s="60"/>
      <c r="M42" s="60"/>
      <c r="N42" s="60"/>
      <c r="O42" s="233"/>
    </row>
    <row r="43" spans="1:15" s="3" customFormat="1" ht="19.5" thickBot="1">
      <c r="A43" s="4"/>
      <c r="B43" s="527"/>
      <c r="C43" s="530"/>
      <c r="D43" s="287" t="s">
        <v>77</v>
      </c>
      <c r="E43" s="247"/>
      <c r="F43" s="77">
        <f>ROUND(F42*0.8/10,100)*10</f>
        <v>1760000</v>
      </c>
      <c r="G43" s="72">
        <f>184.91*1.03</f>
        <v>190.4573</v>
      </c>
      <c r="H43" s="76">
        <f>ROUND(H42*0.8/10,100)*10</f>
        <v>1140000</v>
      </c>
      <c r="I43" s="74">
        <f>122.75*1.03</f>
        <v>126.4325</v>
      </c>
      <c r="J43" s="66"/>
      <c r="K43" s="60"/>
      <c r="L43" s="60"/>
      <c r="M43" s="60"/>
      <c r="N43" s="60"/>
      <c r="O43" s="233"/>
    </row>
    <row r="44" spans="1:15" s="3" customFormat="1" ht="19.5" thickBot="1">
      <c r="A44" s="91"/>
      <c r="B44" s="527"/>
      <c r="C44" s="529" t="s">
        <v>41</v>
      </c>
      <c r="D44" s="63">
        <v>1</v>
      </c>
      <c r="E44" s="245">
        <f>ROUND(E45*1.2/10,100)*10</f>
        <v>0</v>
      </c>
      <c r="F44" s="56">
        <f>ROUND(F45*1.2/10,100)*10</f>
        <v>3168000</v>
      </c>
      <c r="G44" s="57">
        <f>332.84*1.03</f>
        <v>342.8252</v>
      </c>
      <c r="H44" s="54">
        <f>ROUND(H45*1.2/10,100)*10</f>
        <v>2052000</v>
      </c>
      <c r="I44" s="58">
        <f>222.06*1.03</f>
        <v>228.7218</v>
      </c>
      <c r="J44" s="59"/>
      <c r="K44" s="60"/>
      <c r="L44" s="60"/>
      <c r="M44" s="60"/>
      <c r="N44" s="60"/>
      <c r="O44" s="233"/>
    </row>
    <row r="45" spans="1:15" s="3" customFormat="1" ht="19.5" thickBot="1">
      <c r="A45" s="4"/>
      <c r="B45" s="527"/>
      <c r="C45" s="530"/>
      <c r="D45" s="288">
        <v>2</v>
      </c>
      <c r="E45" s="289"/>
      <c r="F45" s="127">
        <f>F42*1.2</f>
        <v>2640000</v>
      </c>
      <c r="G45" s="85">
        <f>277.37*1.03</f>
        <v>285.6911</v>
      </c>
      <c r="H45" s="128">
        <f>H42*1.2</f>
        <v>1710000</v>
      </c>
      <c r="I45" s="122">
        <f>185.05*1.03</f>
        <v>190.60150000000002</v>
      </c>
      <c r="J45" s="66"/>
      <c r="K45" s="60"/>
      <c r="L45" s="60"/>
      <c r="M45" s="60"/>
      <c r="N45" s="60"/>
      <c r="O45" s="233"/>
    </row>
    <row r="46" spans="1:15" s="3" customFormat="1" ht="15.75" customHeight="1" thickBot="1">
      <c r="A46" s="162"/>
      <c r="B46" s="527"/>
      <c r="C46" s="531"/>
      <c r="D46" s="63" t="s">
        <v>77</v>
      </c>
      <c r="E46" s="244"/>
      <c r="F46" s="56">
        <f>ROUND(F45*0.8/10,100)*10</f>
        <v>2112000</v>
      </c>
      <c r="G46" s="57">
        <f>221.89*1.03</f>
        <v>228.5467</v>
      </c>
      <c r="H46" s="54">
        <f>ROUND(H45*0.8/10,100)*10</f>
        <v>1368000</v>
      </c>
      <c r="I46" s="58">
        <f>148.04*1.03</f>
        <v>152.4812</v>
      </c>
      <c r="J46" s="66"/>
      <c r="K46" s="60"/>
      <c r="L46" s="60"/>
      <c r="M46" s="60"/>
      <c r="N46" s="60"/>
      <c r="O46" s="233"/>
    </row>
    <row r="47" spans="1:15" s="3" customFormat="1" ht="16.5" customHeight="1" thickBot="1">
      <c r="A47" s="42"/>
      <c r="B47" s="527"/>
      <c r="C47" s="529" t="s">
        <v>165</v>
      </c>
      <c r="D47" s="287">
        <v>1</v>
      </c>
      <c r="E47" s="290">
        <f>ROUND(E48*1.2/10,100)*10</f>
        <v>0</v>
      </c>
      <c r="F47" s="77">
        <f>ROUND(F48*1.2/10,100)*10</f>
        <v>3432000</v>
      </c>
      <c r="G47" s="72">
        <f>360.57*1.03</f>
        <v>371.3871</v>
      </c>
      <c r="H47" s="76">
        <f>ROUND(H48*1.2/10,100)*10</f>
        <v>2223000</v>
      </c>
      <c r="I47" s="74">
        <f>240.57*1.03</f>
        <v>247.7871</v>
      </c>
      <c r="J47" s="59"/>
      <c r="K47" s="60"/>
      <c r="L47" s="60"/>
      <c r="M47" s="60"/>
      <c r="N47" s="60"/>
      <c r="O47" s="233"/>
    </row>
    <row r="48" spans="1:15" s="3" customFormat="1" ht="15.75" customHeight="1" thickBot="1">
      <c r="A48" s="4"/>
      <c r="B48" s="527"/>
      <c r="C48" s="530"/>
      <c r="D48" s="63">
        <v>2</v>
      </c>
      <c r="E48" s="244"/>
      <c r="F48" s="64">
        <f>F42*1.3</f>
        <v>2860000</v>
      </c>
      <c r="G48" s="57">
        <f>300.48*1.03</f>
        <v>309.49440000000004</v>
      </c>
      <c r="H48" s="87">
        <f>H42*1.3</f>
        <v>1852500</v>
      </c>
      <c r="I48" s="58">
        <f>200.47*1.03</f>
        <v>206.4841</v>
      </c>
      <c r="J48" s="66"/>
      <c r="K48" s="60"/>
      <c r="L48" s="60"/>
      <c r="M48" s="60"/>
      <c r="N48" s="60"/>
      <c r="O48" s="233"/>
    </row>
    <row r="49" spans="1:15" s="3" customFormat="1" ht="15.75" customHeight="1" thickBot="1">
      <c r="A49" s="4"/>
      <c r="B49" s="528"/>
      <c r="C49" s="531"/>
      <c r="D49" s="126">
        <v>3</v>
      </c>
      <c r="E49" s="249">
        <f>ROUND(E48*0.8/10,100)*10</f>
        <v>0</v>
      </c>
      <c r="F49" s="291">
        <f>ROUND(F48*0.8/10,100)*10</f>
        <v>2288000</v>
      </c>
      <c r="G49" s="85">
        <f>240.38*1.03</f>
        <v>247.5914</v>
      </c>
      <c r="H49" s="251">
        <f>ROUND(H48*0.8/10,100)*10</f>
        <v>1482000</v>
      </c>
      <c r="I49" s="122">
        <f>160.38*1.03</f>
        <v>165.1914</v>
      </c>
      <c r="J49" s="182"/>
      <c r="K49" s="60"/>
      <c r="L49" s="60"/>
      <c r="M49" s="60"/>
      <c r="N49" s="60"/>
      <c r="O49" s="233"/>
    </row>
    <row r="50" spans="1:15" s="3" customFormat="1" ht="18" customHeight="1">
      <c r="A50" s="4"/>
      <c r="B50" s="630" t="s">
        <v>173</v>
      </c>
      <c r="C50" s="630"/>
      <c r="D50" s="630"/>
      <c r="E50" s="630"/>
      <c r="F50" s="630"/>
      <c r="G50" s="630"/>
      <c r="H50" s="630"/>
      <c r="I50" s="630"/>
      <c r="J50" s="5"/>
      <c r="K50" s="51"/>
      <c r="L50" s="51"/>
      <c r="M50" s="51"/>
      <c r="N50" s="51"/>
      <c r="O50" s="233"/>
    </row>
    <row r="51" spans="1:15" s="3" customFormat="1" ht="24.75" customHeight="1" thickBot="1">
      <c r="A51" s="4"/>
      <c r="B51" s="237"/>
      <c r="C51" s="237"/>
      <c r="D51" s="237"/>
      <c r="E51" s="237"/>
      <c r="F51" s="237"/>
      <c r="G51" s="237" t="s">
        <v>172</v>
      </c>
      <c r="H51" s="237"/>
      <c r="I51" s="237"/>
      <c r="J51" s="5"/>
      <c r="K51" s="51"/>
      <c r="L51" s="51"/>
      <c r="M51" s="51"/>
      <c r="N51" s="51"/>
      <c r="O51" s="233"/>
    </row>
    <row r="52" spans="1:15" s="3" customFormat="1" ht="15" customHeight="1" thickBot="1">
      <c r="A52" s="4"/>
      <c r="B52" s="615" t="s">
        <v>62</v>
      </c>
      <c r="C52" s="618" t="s">
        <v>163</v>
      </c>
      <c r="D52" s="75">
        <v>1</v>
      </c>
      <c r="E52" s="119">
        <f>ROUND(E53*1.2/10,100)*10</f>
        <v>0</v>
      </c>
      <c r="F52" s="241">
        <f>ROUND(F53*1.2/10,100)*10</f>
        <v>1313400</v>
      </c>
      <c r="G52" s="120">
        <f>142.13*1.03</f>
        <v>146.3939</v>
      </c>
      <c r="H52" s="119">
        <f>ROUND(H53*1.2/10,100)*10</f>
        <v>884400</v>
      </c>
      <c r="I52" s="58">
        <f>92.92*1.03</f>
        <v>95.7076</v>
      </c>
      <c r="J52" s="59"/>
      <c r="K52" s="60"/>
      <c r="L52" s="60"/>
      <c r="M52" s="60"/>
      <c r="N52" s="60"/>
      <c r="O52" s="292"/>
    </row>
    <row r="53" spans="1:15" s="3" customFormat="1" ht="15" customHeight="1" thickBot="1">
      <c r="A53" s="4"/>
      <c r="B53" s="616"/>
      <c r="C53" s="619"/>
      <c r="D53" s="53">
        <v>2</v>
      </c>
      <c r="E53" s="87"/>
      <c r="F53" s="244">
        <f>F56*1.1</f>
        <v>1094500</v>
      </c>
      <c r="G53" s="58">
        <f>118.44*1.03</f>
        <v>121.9932</v>
      </c>
      <c r="H53" s="87">
        <f>H56*1.1</f>
        <v>737000.0000000001</v>
      </c>
      <c r="I53" s="58">
        <f>77.43*1.03</f>
        <v>79.75290000000001</v>
      </c>
      <c r="J53" s="66"/>
      <c r="K53" s="60"/>
      <c r="L53" s="60"/>
      <c r="M53" s="60"/>
      <c r="N53" s="60"/>
      <c r="O53" s="292"/>
    </row>
    <row r="54" spans="1:16" s="3" customFormat="1" ht="15.75" customHeight="1" thickBot="1">
      <c r="A54" s="4"/>
      <c r="B54" s="616"/>
      <c r="C54" s="620"/>
      <c r="D54" s="86" t="s">
        <v>44</v>
      </c>
      <c r="E54" s="73"/>
      <c r="F54" s="290">
        <f>ROUND(F53*0.8/10,100)*10</f>
        <v>875600</v>
      </c>
      <c r="G54" s="74">
        <f>94.75*1.03</f>
        <v>97.5925</v>
      </c>
      <c r="H54" s="76">
        <f>ROUND(H53*0.8/10,100)*10</f>
        <v>589600</v>
      </c>
      <c r="I54" s="74">
        <f>61.94*1.03</f>
        <v>63.7982</v>
      </c>
      <c r="J54" s="66"/>
      <c r="K54" s="60"/>
      <c r="L54" s="60"/>
      <c r="M54" s="60"/>
      <c r="N54" s="60"/>
      <c r="O54" s="292"/>
      <c r="P54" s="292"/>
    </row>
    <row r="55" spans="2:15" ht="19.5" thickBot="1">
      <c r="B55" s="616"/>
      <c r="C55" s="621" t="s">
        <v>164</v>
      </c>
      <c r="D55" s="53">
        <v>1</v>
      </c>
      <c r="E55" s="54">
        <f>ROUND(E56*1.2/10,100)*10</f>
        <v>0</v>
      </c>
      <c r="F55" s="245">
        <f>ROUND(F56*1.2/10,100)*10</f>
        <v>1194000</v>
      </c>
      <c r="G55" s="58">
        <f>129.21*1.03</f>
        <v>133.08630000000002</v>
      </c>
      <c r="H55" s="54">
        <f>ROUND(H56*1.2/10,100)*10</f>
        <v>804000</v>
      </c>
      <c r="I55" s="58">
        <f>84.47*1.03</f>
        <v>87.0041</v>
      </c>
      <c r="J55" s="59"/>
      <c r="K55" s="60"/>
      <c r="L55" s="60"/>
      <c r="M55" s="60"/>
      <c r="N55" s="60"/>
      <c r="O55" s="293"/>
    </row>
    <row r="56" spans="2:15" ht="19.5" thickBot="1">
      <c r="B56" s="616"/>
      <c r="C56" s="622"/>
      <c r="D56" s="89">
        <v>2</v>
      </c>
      <c r="E56" s="128"/>
      <c r="F56" s="289">
        <v>995000</v>
      </c>
      <c r="G56" s="122">
        <f>107.68*1.03</f>
        <v>110.91040000000001</v>
      </c>
      <c r="H56" s="128">
        <v>670000</v>
      </c>
      <c r="I56" s="122">
        <f>70.4*1.03</f>
        <v>72.51200000000001</v>
      </c>
      <c r="J56" s="66"/>
      <c r="K56" s="60"/>
      <c r="L56" s="60"/>
      <c r="M56" s="60"/>
      <c r="N56" s="60"/>
      <c r="O56" s="293"/>
    </row>
    <row r="57" spans="2:15" ht="19.5" thickBot="1">
      <c r="B57" s="616"/>
      <c r="C57" s="623"/>
      <c r="D57" s="86" t="s">
        <v>44</v>
      </c>
      <c r="E57" s="73"/>
      <c r="F57" s="290">
        <f>ROUND(F56*0.8/10,100)*10</f>
        <v>796000</v>
      </c>
      <c r="G57" s="74">
        <f>86.14*1.03</f>
        <v>88.7242</v>
      </c>
      <c r="H57" s="76">
        <f>ROUND(H56*0.8/10,100)*10</f>
        <v>536000</v>
      </c>
      <c r="I57" s="58">
        <f>56.31*1.03</f>
        <v>57.999300000000005</v>
      </c>
      <c r="J57" s="66"/>
      <c r="K57" s="60"/>
      <c r="L57" s="60"/>
      <c r="M57" s="60"/>
      <c r="N57" s="60"/>
      <c r="O57" s="293"/>
    </row>
    <row r="58" spans="2:15" ht="19.5" thickBot="1">
      <c r="B58" s="616"/>
      <c r="C58" s="621" t="s">
        <v>41</v>
      </c>
      <c r="D58" s="53">
        <v>1</v>
      </c>
      <c r="E58" s="54">
        <f>ROUND(E59*1.2/10,100)*10</f>
        <v>0</v>
      </c>
      <c r="F58" s="245">
        <f>ROUND(F59*1.2/10,100)*10</f>
        <v>1432800</v>
      </c>
      <c r="G58" s="58">
        <f>155.05*1.03</f>
        <v>159.7015</v>
      </c>
      <c r="H58" s="54">
        <f>ROUND(H59*1.2/10,100)*10</f>
        <v>964800</v>
      </c>
      <c r="I58" s="58">
        <f>101.36*1.03</f>
        <v>104.4008</v>
      </c>
      <c r="J58" s="59"/>
      <c r="K58" s="60"/>
      <c r="L58" s="60"/>
      <c r="M58" s="60"/>
      <c r="N58" s="60"/>
      <c r="O58" s="293"/>
    </row>
    <row r="59" spans="2:15" ht="19.5" thickBot="1">
      <c r="B59" s="616"/>
      <c r="C59" s="622"/>
      <c r="D59" s="86">
        <v>2</v>
      </c>
      <c r="E59" s="73"/>
      <c r="F59" s="247">
        <f>F56*1.2</f>
        <v>1194000</v>
      </c>
      <c r="G59" s="74">
        <f>129.21*1.03</f>
        <v>133.08630000000002</v>
      </c>
      <c r="H59" s="73">
        <f>H56*1.2</f>
        <v>804000</v>
      </c>
      <c r="I59" s="58">
        <f>84.47*1.03</f>
        <v>87.0041</v>
      </c>
      <c r="J59" s="66"/>
      <c r="K59" s="60"/>
      <c r="L59" s="60"/>
      <c r="M59" s="60"/>
      <c r="N59" s="60"/>
      <c r="O59" s="293"/>
    </row>
    <row r="60" spans="2:15" ht="19.5" thickBot="1">
      <c r="B60" s="616"/>
      <c r="C60" s="624"/>
      <c r="D60" s="53" t="s">
        <v>44</v>
      </c>
      <c r="E60" s="87"/>
      <c r="F60" s="245">
        <f>ROUND(F59*0.8/10,100)*10</f>
        <v>955200</v>
      </c>
      <c r="G60" s="58">
        <f>103.37*1.03</f>
        <v>106.4711</v>
      </c>
      <c r="H60" s="54">
        <f>ROUND(H59*0.8/10,100)*10</f>
        <v>643200</v>
      </c>
      <c r="I60" s="58">
        <f>67.58*1.03</f>
        <v>69.6074</v>
      </c>
      <c r="J60" s="66"/>
      <c r="K60" s="60"/>
      <c r="L60" s="60"/>
      <c r="M60" s="60"/>
      <c r="N60" s="60"/>
      <c r="O60" s="293"/>
    </row>
    <row r="61" spans="2:16" ht="19.5" thickBot="1">
      <c r="B61" s="616"/>
      <c r="C61" s="621" t="s">
        <v>165</v>
      </c>
      <c r="D61" s="86">
        <v>1</v>
      </c>
      <c r="E61" s="76">
        <f>ROUND(E62*1.2/10,100)*10</f>
        <v>0</v>
      </c>
      <c r="F61" s="290">
        <f>ROUND(F62*1.2/10,100)*10</f>
        <v>1552200</v>
      </c>
      <c r="G61" s="74">
        <f>167.97*1.03</f>
        <v>173.0091</v>
      </c>
      <c r="H61" s="76">
        <f>ROUND(H62*1.2/10,100)*10</f>
        <v>1045200</v>
      </c>
      <c r="I61" s="74">
        <f>109.81*1.03</f>
        <v>113.10430000000001</v>
      </c>
      <c r="J61" s="59"/>
      <c r="K61" s="60"/>
      <c r="L61" s="60"/>
      <c r="M61" s="60"/>
      <c r="N61" s="60"/>
      <c r="O61" s="293"/>
      <c r="P61" s="293"/>
    </row>
    <row r="62" spans="2:15" ht="19.5" thickBot="1">
      <c r="B62" s="616"/>
      <c r="C62" s="622"/>
      <c r="D62" s="53">
        <v>2</v>
      </c>
      <c r="E62" s="87"/>
      <c r="F62" s="244">
        <f>F56*1.3</f>
        <v>1293500</v>
      </c>
      <c r="G62" s="58">
        <f>139.97*1.03</f>
        <v>144.16910000000001</v>
      </c>
      <c r="H62" s="87">
        <f>H56*1.3</f>
        <v>871000</v>
      </c>
      <c r="I62" s="58">
        <f>91.51*1.03</f>
        <v>94.2553</v>
      </c>
      <c r="J62" s="66"/>
      <c r="K62" s="60"/>
      <c r="L62" s="60"/>
      <c r="M62" s="60"/>
      <c r="N62" s="60"/>
      <c r="O62" s="293"/>
    </row>
    <row r="63" spans="2:16" ht="19.5" thickBot="1">
      <c r="B63" s="617"/>
      <c r="C63" s="624"/>
      <c r="D63" s="86">
        <v>3</v>
      </c>
      <c r="E63" s="294">
        <f>ROUND(E62*0.8/10,100)*10</f>
        <v>0</v>
      </c>
      <c r="F63" s="295">
        <f>ROUND(F62*0.8/10,100)*10</f>
        <v>1034800</v>
      </c>
      <c r="G63" s="74">
        <f>111.98*1.03</f>
        <v>115.33940000000001</v>
      </c>
      <c r="H63" s="294">
        <f>ROUND(H62*0.8/10,100)*10</f>
        <v>696800</v>
      </c>
      <c r="I63" s="74">
        <f>73.21*1.03</f>
        <v>75.4063</v>
      </c>
      <c r="J63" s="182"/>
      <c r="K63" s="60"/>
      <c r="L63" s="60"/>
      <c r="M63" s="60"/>
      <c r="N63" s="60"/>
      <c r="O63" s="293"/>
      <c r="P63" s="293"/>
    </row>
    <row r="64" spans="2:15" ht="19.5" thickBot="1">
      <c r="B64" s="296"/>
      <c r="C64" s="144" t="s">
        <v>42</v>
      </c>
      <c r="D64" s="53" t="s">
        <v>78</v>
      </c>
      <c r="E64" s="246"/>
      <c r="F64" s="244">
        <v>230000</v>
      </c>
      <c r="G64" s="124">
        <f>24.9*1.03</f>
        <v>25.647</v>
      </c>
      <c r="H64" s="246"/>
      <c r="I64" s="255"/>
      <c r="J64" s="182"/>
      <c r="K64" s="60"/>
      <c r="L64" s="60"/>
      <c r="M64" s="60"/>
      <c r="N64" s="60"/>
      <c r="O64" s="293"/>
    </row>
    <row r="65" spans="2:15" ht="18.75" customHeight="1">
      <c r="B65" s="625" t="s">
        <v>174</v>
      </c>
      <c r="C65" s="626"/>
      <c r="D65" s="626"/>
      <c r="E65" s="626"/>
      <c r="F65" s="626"/>
      <c r="G65" s="626"/>
      <c r="H65" s="297"/>
      <c r="I65" s="607">
        <f>2.7*1.03</f>
        <v>2.781</v>
      </c>
      <c r="J65" s="297"/>
      <c r="K65" s="297"/>
      <c r="L65" s="297"/>
      <c r="M65" s="297"/>
      <c r="N65" s="297"/>
      <c r="O65" s="297"/>
    </row>
    <row r="66" spans="2:15" ht="19.5" customHeight="1" thickBot="1">
      <c r="B66" s="627"/>
      <c r="C66" s="628"/>
      <c r="D66" s="628"/>
      <c r="E66" s="628"/>
      <c r="F66" s="628"/>
      <c r="G66" s="628"/>
      <c r="H66" s="298">
        <v>25000</v>
      </c>
      <c r="I66" s="608"/>
      <c r="J66" s="297"/>
      <c r="K66" s="297"/>
      <c r="L66" s="60"/>
      <c r="M66" s="60"/>
      <c r="N66" s="297"/>
      <c r="O66" s="297"/>
    </row>
    <row r="67" spans="2:15" ht="19.5" thickBot="1">
      <c r="B67" s="609" t="s">
        <v>175</v>
      </c>
      <c r="C67" s="610"/>
      <c r="D67" s="610"/>
      <c r="E67" s="611"/>
      <c r="F67" s="611"/>
      <c r="G67" s="610"/>
      <c r="H67" s="299"/>
      <c r="I67" s="300">
        <v>2.98</v>
      </c>
      <c r="J67" s="297"/>
      <c r="K67" s="297"/>
      <c r="L67" s="60"/>
      <c r="M67" s="60"/>
      <c r="N67" s="297"/>
      <c r="O67" s="297"/>
    </row>
    <row r="68" spans="2:15" ht="19.5" thickBot="1">
      <c r="B68" s="301" t="s">
        <v>70</v>
      </c>
      <c r="C68" s="302"/>
      <c r="D68" s="303"/>
      <c r="E68" s="304"/>
      <c r="F68" s="304" t="s">
        <v>51</v>
      </c>
      <c r="G68" s="305"/>
      <c r="H68" s="306">
        <v>50000</v>
      </c>
      <c r="I68" s="307">
        <f>5.26*1.03</f>
        <v>5.4178</v>
      </c>
      <c r="J68" s="297"/>
      <c r="K68" s="297"/>
      <c r="L68" s="60"/>
      <c r="M68" s="297"/>
      <c r="N68" s="297"/>
      <c r="O68" s="297"/>
    </row>
    <row r="69" spans="2:15" ht="19.5" thickBot="1">
      <c r="B69" s="301" t="s">
        <v>69</v>
      </c>
      <c r="C69" s="302"/>
      <c r="D69" s="303"/>
      <c r="E69" s="302"/>
      <c r="F69" s="302" t="s">
        <v>51</v>
      </c>
      <c r="G69" s="305"/>
      <c r="H69" s="308">
        <v>90000</v>
      </c>
      <c r="I69" s="309">
        <f>9.45*1.03</f>
        <v>9.7335</v>
      </c>
      <c r="J69" s="297"/>
      <c r="K69" s="297"/>
      <c r="L69" s="60"/>
      <c r="M69" s="297"/>
      <c r="N69" s="297"/>
      <c r="O69" s="297"/>
    </row>
    <row r="70" spans="2:15" ht="19.5" thickBot="1">
      <c r="B70" s="612" t="s">
        <v>176</v>
      </c>
      <c r="C70" s="613"/>
      <c r="D70" s="613"/>
      <c r="E70" s="613"/>
      <c r="F70" s="613"/>
      <c r="G70" s="614"/>
      <c r="H70" s="299"/>
      <c r="I70" s="310">
        <v>0.08</v>
      </c>
      <c r="J70" s="297"/>
      <c r="K70" s="297"/>
      <c r="L70" s="60"/>
      <c r="M70" s="297"/>
      <c r="N70" s="297"/>
      <c r="O70" s="297"/>
    </row>
    <row r="71" spans="2:15" ht="23.25" customHeight="1">
      <c r="B71" s="311"/>
      <c r="C71" s="311"/>
      <c r="D71" s="311"/>
      <c r="G71" s="311"/>
      <c r="I71" s="312"/>
      <c r="J71" s="297"/>
      <c r="K71" s="297"/>
      <c r="L71" s="297"/>
      <c r="M71" s="297"/>
      <c r="N71" s="297"/>
      <c r="O71" s="297"/>
    </row>
  </sheetData>
  <sheetProtection/>
  <mergeCells count="41">
    <mergeCell ref="B6:I6"/>
    <mergeCell ref="B7:I7"/>
    <mergeCell ref="B8:I8"/>
    <mergeCell ref="B9:I9"/>
    <mergeCell ref="L9:M9"/>
    <mergeCell ref="B10:B12"/>
    <mergeCell ref="C10:C12"/>
    <mergeCell ref="D10:D12"/>
    <mergeCell ref="E10:I10"/>
    <mergeCell ref="K10:N10"/>
    <mergeCell ref="G11:I11"/>
    <mergeCell ref="F12:G12"/>
    <mergeCell ref="H12:I12"/>
    <mergeCell ref="B13:I13"/>
    <mergeCell ref="B14:B27"/>
    <mergeCell ref="C14:C17"/>
    <mergeCell ref="C18:C21"/>
    <mergeCell ref="C22:C24"/>
    <mergeCell ref="C25:C27"/>
    <mergeCell ref="B30:I30"/>
    <mergeCell ref="B31:I31"/>
    <mergeCell ref="B32:B34"/>
    <mergeCell ref="C32:C34"/>
    <mergeCell ref="B35:I35"/>
    <mergeCell ref="B36:B38"/>
    <mergeCell ref="C36:C38"/>
    <mergeCell ref="B39:I39"/>
    <mergeCell ref="B41:B49"/>
    <mergeCell ref="C41:C43"/>
    <mergeCell ref="C44:C46"/>
    <mergeCell ref="C47:C49"/>
    <mergeCell ref="B50:I50"/>
    <mergeCell ref="I65:I66"/>
    <mergeCell ref="B67:G67"/>
    <mergeCell ref="B70:G70"/>
    <mergeCell ref="B52:B63"/>
    <mergeCell ref="C52:C54"/>
    <mergeCell ref="C55:C57"/>
    <mergeCell ref="C58:C60"/>
    <mergeCell ref="C61:C63"/>
    <mergeCell ref="B65:G66"/>
  </mergeCells>
  <printOptions/>
  <pageMargins left="0.75" right="0.75" top="1" bottom="1" header="0.5" footer="0.5"/>
  <pageSetup horizontalDpi="600" verticalDpi="600" orientation="portrait" paperSize="9" scale="84" r:id="rId1"/>
  <rowBreaks count="1" manualBreakCount="1">
    <brk id="38" max="8" man="1"/>
  </rowBreaks>
  <colBreaks count="1" manualBreakCount="1">
    <brk id="9" max="9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view="pageBreakPreview" zoomScaleSheetLayoutView="100" zoomScalePageLayoutView="0" workbookViewId="0" topLeftCell="B2">
      <selection activeCell="A7" sqref="A7:M7"/>
    </sheetView>
  </sheetViews>
  <sheetFormatPr defaultColWidth="9.00390625" defaultRowHeight="12.75"/>
  <cols>
    <col min="1" max="1" width="3.375" style="0" hidden="1" customWidth="1"/>
    <col min="2" max="2" width="28.875" style="0" customWidth="1"/>
    <col min="3" max="3" width="15.875" style="0" customWidth="1"/>
    <col min="4" max="4" width="13.875" style="0" hidden="1" customWidth="1"/>
    <col min="5" max="5" width="22.375" style="0" customWidth="1"/>
    <col min="6" max="6" width="13.875" style="0" hidden="1" customWidth="1"/>
    <col min="7" max="7" width="21.00390625" style="0" customWidth="1"/>
    <col min="8" max="8" width="5.25390625" style="0" hidden="1" customWidth="1"/>
    <col min="9" max="9" width="24.00390625" style="0" customWidth="1"/>
    <col min="10" max="10" width="4.375" style="0" hidden="1" customWidth="1"/>
    <col min="11" max="11" width="24.125" style="0" customWidth="1"/>
    <col min="12" max="12" width="9.375" style="0" hidden="1" customWidth="1"/>
    <col min="13" max="13" width="27.75390625" style="0" customWidth="1"/>
    <col min="14" max="14" width="18.875" style="0" customWidth="1"/>
    <col min="15" max="18" width="10.125" style="0" hidden="1" customWidth="1"/>
  </cols>
  <sheetData>
    <row r="1" spans="1:18" ht="18.75" hidden="1">
      <c r="A1" s="3"/>
      <c r="B1" s="3"/>
      <c r="C1" s="16"/>
      <c r="D1" s="16"/>
      <c r="E1" s="16"/>
      <c r="F1" s="16"/>
      <c r="G1" s="16"/>
      <c r="H1" s="16"/>
      <c r="I1" s="16"/>
      <c r="J1" s="17" t="s">
        <v>88</v>
      </c>
      <c r="K1" s="18"/>
      <c r="L1" s="16"/>
      <c r="M1" s="16"/>
      <c r="N1" s="16"/>
      <c r="O1" s="20"/>
      <c r="P1" s="21"/>
      <c r="Q1" s="21"/>
      <c r="R1" s="21"/>
    </row>
    <row r="2" spans="1:18" ht="18.75">
      <c r="A2" s="3"/>
      <c r="B2" s="3"/>
      <c r="C2" s="16"/>
      <c r="D2" s="16"/>
      <c r="E2" s="16"/>
      <c r="F2" s="16"/>
      <c r="G2" s="16"/>
      <c r="H2" s="16"/>
      <c r="I2" s="16"/>
      <c r="J2" s="22" t="s">
        <v>89</v>
      </c>
      <c r="L2" s="16"/>
      <c r="M2" s="19" t="s">
        <v>88</v>
      </c>
      <c r="N2" s="16"/>
      <c r="O2" s="20"/>
      <c r="P2" s="21"/>
      <c r="Q2" s="21"/>
      <c r="R2" s="21"/>
    </row>
    <row r="3" spans="1:18" ht="18.75">
      <c r="A3" s="3"/>
      <c r="B3" s="3"/>
      <c r="C3" s="16"/>
      <c r="D3" s="16"/>
      <c r="E3" s="16"/>
      <c r="F3" s="16"/>
      <c r="G3" s="16"/>
      <c r="H3" s="16"/>
      <c r="I3" s="16"/>
      <c r="J3" s="23"/>
      <c r="K3" s="7"/>
      <c r="L3" s="22" t="s">
        <v>90</v>
      </c>
      <c r="M3" s="19" t="s">
        <v>121</v>
      </c>
      <c r="N3" s="16"/>
      <c r="O3" s="20"/>
      <c r="P3" s="21"/>
      <c r="Q3" s="21"/>
      <c r="R3" s="21"/>
    </row>
    <row r="4" spans="1:18" ht="18.75">
      <c r="A4" s="3"/>
      <c r="B4" s="3"/>
      <c r="C4" s="16"/>
      <c r="D4" s="16"/>
      <c r="E4" s="16"/>
      <c r="F4" s="16"/>
      <c r="G4" s="16"/>
      <c r="H4" s="16"/>
      <c r="I4" s="16"/>
      <c r="J4" s="7"/>
      <c r="K4" s="7"/>
      <c r="L4" s="22"/>
      <c r="M4" s="19" t="s">
        <v>122</v>
      </c>
      <c r="N4" s="16"/>
      <c r="O4" s="20"/>
      <c r="P4" s="21"/>
      <c r="Q4" s="21"/>
      <c r="R4" s="21"/>
    </row>
    <row r="5" spans="1:256" ht="15.75">
      <c r="A5" s="16"/>
      <c r="B5" s="322"/>
      <c r="C5" s="16"/>
      <c r="D5" s="16"/>
      <c r="E5" s="16"/>
      <c r="F5" s="16"/>
      <c r="G5" s="16"/>
      <c r="H5" s="16"/>
      <c r="I5" s="16"/>
      <c r="J5" s="16"/>
      <c r="K5" s="16"/>
      <c r="L5" s="16" t="s">
        <v>123</v>
      </c>
      <c r="M5" s="16" t="s">
        <v>92</v>
      </c>
      <c r="N5" s="16"/>
      <c r="O5" s="16"/>
      <c r="P5" s="16"/>
      <c r="Q5" s="16"/>
      <c r="R5" s="16"/>
      <c r="S5" s="16"/>
      <c r="T5" s="16" t="s">
        <v>123</v>
      </c>
      <c r="U5" s="16" t="s">
        <v>123</v>
      </c>
      <c r="V5" s="16" t="s">
        <v>123</v>
      </c>
      <c r="W5" s="16" t="s">
        <v>123</v>
      </c>
      <c r="X5" s="16" t="s">
        <v>123</v>
      </c>
      <c r="Y5" s="16" t="s">
        <v>123</v>
      </c>
      <c r="Z5" s="16" t="s">
        <v>123</v>
      </c>
      <c r="AA5" s="16" t="s">
        <v>123</v>
      </c>
      <c r="AB5" s="16" t="s">
        <v>123</v>
      </c>
      <c r="AC5" s="16" t="s">
        <v>123</v>
      </c>
      <c r="AD5" s="16" t="s">
        <v>123</v>
      </c>
      <c r="AE5" s="16" t="s">
        <v>123</v>
      </c>
      <c r="AF5" s="16" t="s">
        <v>123</v>
      </c>
      <c r="AG5" s="16" t="s">
        <v>123</v>
      </c>
      <c r="AH5" s="16" t="s">
        <v>123</v>
      </c>
      <c r="AI5" s="16" t="s">
        <v>123</v>
      </c>
      <c r="AJ5" s="16" t="s">
        <v>123</v>
      </c>
      <c r="AK5" s="16" t="s">
        <v>123</v>
      </c>
      <c r="AL5" s="16" t="s">
        <v>123</v>
      </c>
      <c r="AM5" s="16" t="s">
        <v>123</v>
      </c>
      <c r="AN5" s="16" t="s">
        <v>123</v>
      </c>
      <c r="AO5" s="16" t="s">
        <v>123</v>
      </c>
      <c r="AP5" s="16" t="s">
        <v>123</v>
      </c>
      <c r="AQ5" s="16" t="s">
        <v>123</v>
      </c>
      <c r="AR5" s="16" t="s">
        <v>123</v>
      </c>
      <c r="AS5" s="16" t="s">
        <v>123</v>
      </c>
      <c r="AT5" s="16" t="s">
        <v>123</v>
      </c>
      <c r="AU5" s="16" t="s">
        <v>123</v>
      </c>
      <c r="AV5" s="16" t="s">
        <v>123</v>
      </c>
      <c r="AW5" s="16" t="s">
        <v>123</v>
      </c>
      <c r="AX5" s="16" t="s">
        <v>123</v>
      </c>
      <c r="AY5" s="16" t="s">
        <v>123</v>
      </c>
      <c r="AZ5" s="16" t="s">
        <v>123</v>
      </c>
      <c r="BA5" s="16" t="s">
        <v>123</v>
      </c>
      <c r="BB5" s="16" t="s">
        <v>123</v>
      </c>
      <c r="BC5" s="16" t="s">
        <v>123</v>
      </c>
      <c r="BD5" s="16" t="s">
        <v>123</v>
      </c>
      <c r="BE5" s="16" t="s">
        <v>123</v>
      </c>
      <c r="BF5" s="16" t="s">
        <v>123</v>
      </c>
      <c r="BG5" s="16" t="s">
        <v>123</v>
      </c>
      <c r="BH5" s="16" t="s">
        <v>123</v>
      </c>
      <c r="BI5" s="16" t="s">
        <v>123</v>
      </c>
      <c r="BJ5" s="16" t="s">
        <v>123</v>
      </c>
      <c r="BK5" s="16" t="s">
        <v>123</v>
      </c>
      <c r="BL5" s="16" t="s">
        <v>123</v>
      </c>
      <c r="BM5" s="16" t="s">
        <v>123</v>
      </c>
      <c r="BN5" s="16" t="s">
        <v>123</v>
      </c>
      <c r="BO5" s="16" t="s">
        <v>123</v>
      </c>
      <c r="BP5" s="16" t="s">
        <v>123</v>
      </c>
      <c r="BQ5" s="16" t="s">
        <v>123</v>
      </c>
      <c r="BR5" s="16" t="s">
        <v>123</v>
      </c>
      <c r="BS5" s="16" t="s">
        <v>123</v>
      </c>
      <c r="BT5" s="16" t="s">
        <v>123</v>
      </c>
      <c r="BU5" s="16" t="s">
        <v>123</v>
      </c>
      <c r="BV5" s="16" t="s">
        <v>123</v>
      </c>
      <c r="BW5" s="16" t="s">
        <v>123</v>
      </c>
      <c r="BX5" s="16" t="s">
        <v>123</v>
      </c>
      <c r="BY5" s="16" t="s">
        <v>123</v>
      </c>
      <c r="BZ5" s="16" t="s">
        <v>123</v>
      </c>
      <c r="CA5" s="16" t="s">
        <v>123</v>
      </c>
      <c r="CB5" s="16" t="s">
        <v>123</v>
      </c>
      <c r="CC5" s="16" t="s">
        <v>123</v>
      </c>
      <c r="CD5" s="16" t="s">
        <v>123</v>
      </c>
      <c r="CE5" s="16" t="s">
        <v>123</v>
      </c>
      <c r="CF5" s="16" t="s">
        <v>123</v>
      </c>
      <c r="CG5" s="16" t="s">
        <v>123</v>
      </c>
      <c r="CH5" s="16" t="s">
        <v>123</v>
      </c>
      <c r="CI5" s="16" t="s">
        <v>123</v>
      </c>
      <c r="CJ5" s="16" t="s">
        <v>123</v>
      </c>
      <c r="CK5" s="16" t="s">
        <v>123</v>
      </c>
      <c r="CL5" s="16" t="s">
        <v>123</v>
      </c>
      <c r="CM5" s="16" t="s">
        <v>123</v>
      </c>
      <c r="CN5" s="16" t="s">
        <v>123</v>
      </c>
      <c r="CO5" s="16" t="s">
        <v>123</v>
      </c>
      <c r="CP5" s="16" t="s">
        <v>123</v>
      </c>
      <c r="CQ5" s="16" t="s">
        <v>123</v>
      </c>
      <c r="CR5" s="16" t="s">
        <v>123</v>
      </c>
      <c r="CS5" s="16" t="s">
        <v>123</v>
      </c>
      <c r="CT5" s="16" t="s">
        <v>123</v>
      </c>
      <c r="CU5" s="16" t="s">
        <v>123</v>
      </c>
      <c r="CV5" s="16" t="s">
        <v>123</v>
      </c>
      <c r="CW5" s="16" t="s">
        <v>123</v>
      </c>
      <c r="CX5" s="16" t="s">
        <v>123</v>
      </c>
      <c r="CY5" s="16" t="s">
        <v>123</v>
      </c>
      <c r="CZ5" s="16" t="s">
        <v>123</v>
      </c>
      <c r="DA5" s="16" t="s">
        <v>123</v>
      </c>
      <c r="DB5" s="16" t="s">
        <v>123</v>
      </c>
      <c r="DC5" s="16" t="s">
        <v>123</v>
      </c>
      <c r="DD5" s="16" t="s">
        <v>123</v>
      </c>
      <c r="DE5" s="16" t="s">
        <v>123</v>
      </c>
      <c r="DF5" s="16" t="s">
        <v>123</v>
      </c>
      <c r="DG5" s="16" t="s">
        <v>123</v>
      </c>
      <c r="DH5" s="16" t="s">
        <v>123</v>
      </c>
      <c r="DI5" s="16" t="s">
        <v>123</v>
      </c>
      <c r="DJ5" s="16" t="s">
        <v>123</v>
      </c>
      <c r="DK5" s="16" t="s">
        <v>123</v>
      </c>
      <c r="DL5" s="16" t="s">
        <v>123</v>
      </c>
      <c r="DM5" s="16" t="s">
        <v>123</v>
      </c>
      <c r="DN5" s="16" t="s">
        <v>123</v>
      </c>
      <c r="DO5" s="16" t="s">
        <v>123</v>
      </c>
      <c r="DP5" s="16" t="s">
        <v>123</v>
      </c>
      <c r="DQ5" s="16" t="s">
        <v>123</v>
      </c>
      <c r="DR5" s="16" t="s">
        <v>123</v>
      </c>
      <c r="DS5" s="16" t="s">
        <v>123</v>
      </c>
      <c r="DT5" s="16" t="s">
        <v>123</v>
      </c>
      <c r="DU5" s="16" t="s">
        <v>123</v>
      </c>
      <c r="DV5" s="16" t="s">
        <v>123</v>
      </c>
      <c r="DW5" s="16" t="s">
        <v>123</v>
      </c>
      <c r="DX5" s="16" t="s">
        <v>123</v>
      </c>
      <c r="DY5" s="16" t="s">
        <v>123</v>
      </c>
      <c r="DZ5" s="16" t="s">
        <v>123</v>
      </c>
      <c r="EA5" s="16" t="s">
        <v>123</v>
      </c>
      <c r="EB5" s="16" t="s">
        <v>123</v>
      </c>
      <c r="EC5" s="16" t="s">
        <v>123</v>
      </c>
      <c r="ED5" s="16" t="s">
        <v>123</v>
      </c>
      <c r="EE5" s="16" t="s">
        <v>123</v>
      </c>
      <c r="EF5" s="16" t="s">
        <v>123</v>
      </c>
      <c r="EG5" s="16" t="s">
        <v>123</v>
      </c>
      <c r="EH5" s="16" t="s">
        <v>123</v>
      </c>
      <c r="EI5" s="16" t="s">
        <v>123</v>
      </c>
      <c r="EJ5" s="16" t="s">
        <v>123</v>
      </c>
      <c r="EK5" s="16" t="s">
        <v>123</v>
      </c>
      <c r="EL5" s="16" t="s">
        <v>123</v>
      </c>
      <c r="EM5" s="16" t="s">
        <v>123</v>
      </c>
      <c r="EN5" s="16" t="s">
        <v>123</v>
      </c>
      <c r="EO5" s="16" t="s">
        <v>123</v>
      </c>
      <c r="EP5" s="16" t="s">
        <v>123</v>
      </c>
      <c r="EQ5" s="16" t="s">
        <v>123</v>
      </c>
      <c r="ER5" s="16" t="s">
        <v>123</v>
      </c>
      <c r="ES5" s="16" t="s">
        <v>123</v>
      </c>
      <c r="ET5" s="16" t="s">
        <v>123</v>
      </c>
      <c r="EU5" s="16" t="s">
        <v>123</v>
      </c>
      <c r="EV5" s="16" t="s">
        <v>123</v>
      </c>
      <c r="EW5" s="16" t="s">
        <v>123</v>
      </c>
      <c r="EX5" s="16" t="s">
        <v>123</v>
      </c>
      <c r="EY5" s="16" t="s">
        <v>123</v>
      </c>
      <c r="EZ5" s="16" t="s">
        <v>123</v>
      </c>
      <c r="FA5" s="16" t="s">
        <v>123</v>
      </c>
      <c r="FB5" s="16" t="s">
        <v>123</v>
      </c>
      <c r="FC5" s="16" t="s">
        <v>123</v>
      </c>
      <c r="FD5" s="16" t="s">
        <v>123</v>
      </c>
      <c r="FE5" s="16" t="s">
        <v>123</v>
      </c>
      <c r="FF5" s="16" t="s">
        <v>123</v>
      </c>
      <c r="FG5" s="16" t="s">
        <v>123</v>
      </c>
      <c r="FH5" s="16" t="s">
        <v>123</v>
      </c>
      <c r="FI5" s="16" t="s">
        <v>123</v>
      </c>
      <c r="FJ5" s="16" t="s">
        <v>123</v>
      </c>
      <c r="FK5" s="16" t="s">
        <v>123</v>
      </c>
      <c r="FL5" s="16" t="s">
        <v>123</v>
      </c>
      <c r="FM5" s="16" t="s">
        <v>123</v>
      </c>
      <c r="FN5" s="16" t="s">
        <v>123</v>
      </c>
      <c r="FO5" s="16" t="s">
        <v>123</v>
      </c>
      <c r="FP5" s="16" t="s">
        <v>123</v>
      </c>
      <c r="FQ5" s="16" t="s">
        <v>123</v>
      </c>
      <c r="FR5" s="16" t="s">
        <v>123</v>
      </c>
      <c r="FS5" s="16" t="s">
        <v>123</v>
      </c>
      <c r="FT5" s="16" t="s">
        <v>123</v>
      </c>
      <c r="FU5" s="16" t="s">
        <v>123</v>
      </c>
      <c r="FV5" s="16" t="s">
        <v>123</v>
      </c>
      <c r="FW5" s="16" t="s">
        <v>123</v>
      </c>
      <c r="FX5" s="16" t="s">
        <v>123</v>
      </c>
      <c r="FY5" s="16" t="s">
        <v>123</v>
      </c>
      <c r="FZ5" s="16" t="s">
        <v>123</v>
      </c>
      <c r="GA5" s="16" t="s">
        <v>123</v>
      </c>
      <c r="GB5" s="16" t="s">
        <v>123</v>
      </c>
      <c r="GC5" s="16" t="s">
        <v>123</v>
      </c>
      <c r="GD5" s="16" t="s">
        <v>123</v>
      </c>
      <c r="GE5" s="16" t="s">
        <v>123</v>
      </c>
      <c r="GF5" s="16" t="s">
        <v>123</v>
      </c>
      <c r="GG5" s="16" t="s">
        <v>123</v>
      </c>
      <c r="GH5" s="16" t="s">
        <v>123</v>
      </c>
      <c r="GI5" s="16" t="s">
        <v>123</v>
      </c>
      <c r="GJ5" s="16" t="s">
        <v>123</v>
      </c>
      <c r="GK5" s="16" t="s">
        <v>123</v>
      </c>
      <c r="GL5" s="16" t="s">
        <v>123</v>
      </c>
      <c r="GM5" s="16" t="s">
        <v>123</v>
      </c>
      <c r="GN5" s="16" t="s">
        <v>123</v>
      </c>
      <c r="GO5" s="16" t="s">
        <v>123</v>
      </c>
      <c r="GP5" s="16" t="s">
        <v>123</v>
      </c>
      <c r="GQ5" s="16" t="s">
        <v>123</v>
      </c>
      <c r="GR5" s="16" t="s">
        <v>123</v>
      </c>
      <c r="GS5" s="16" t="s">
        <v>123</v>
      </c>
      <c r="GT5" s="16" t="s">
        <v>123</v>
      </c>
      <c r="GU5" s="16" t="s">
        <v>123</v>
      </c>
      <c r="GV5" s="16" t="s">
        <v>123</v>
      </c>
      <c r="GW5" s="16" t="s">
        <v>123</v>
      </c>
      <c r="GX5" s="16" t="s">
        <v>123</v>
      </c>
      <c r="GY5" s="16" t="s">
        <v>123</v>
      </c>
      <c r="GZ5" s="16" t="s">
        <v>123</v>
      </c>
      <c r="HA5" s="16" t="s">
        <v>123</v>
      </c>
      <c r="HB5" s="16" t="s">
        <v>123</v>
      </c>
      <c r="HC5" s="16" t="s">
        <v>123</v>
      </c>
      <c r="HD5" s="16" t="s">
        <v>123</v>
      </c>
      <c r="HE5" s="16" t="s">
        <v>123</v>
      </c>
      <c r="HF5" s="16" t="s">
        <v>123</v>
      </c>
      <c r="HG5" s="16" t="s">
        <v>123</v>
      </c>
      <c r="HH5" s="16" t="s">
        <v>123</v>
      </c>
      <c r="HI5" s="16" t="s">
        <v>123</v>
      </c>
      <c r="HJ5" s="16" t="s">
        <v>123</v>
      </c>
      <c r="HK5" s="16" t="s">
        <v>123</v>
      </c>
      <c r="HL5" s="16" t="s">
        <v>123</v>
      </c>
      <c r="HM5" s="16" t="s">
        <v>123</v>
      </c>
      <c r="HN5" s="16" t="s">
        <v>123</v>
      </c>
      <c r="HO5" s="16" t="s">
        <v>123</v>
      </c>
      <c r="HP5" s="16" t="s">
        <v>123</v>
      </c>
      <c r="HQ5" s="16" t="s">
        <v>123</v>
      </c>
      <c r="HR5" s="16" t="s">
        <v>123</v>
      </c>
      <c r="HS5" s="16" t="s">
        <v>123</v>
      </c>
      <c r="HT5" s="16" t="s">
        <v>123</v>
      </c>
      <c r="HU5" s="16" t="s">
        <v>123</v>
      </c>
      <c r="HV5" s="16" t="s">
        <v>123</v>
      </c>
      <c r="HW5" s="16" t="s">
        <v>123</v>
      </c>
      <c r="HX5" s="16" t="s">
        <v>123</v>
      </c>
      <c r="HY5" s="16" t="s">
        <v>123</v>
      </c>
      <c r="HZ5" s="16" t="s">
        <v>123</v>
      </c>
      <c r="IA5" s="16" t="s">
        <v>123</v>
      </c>
      <c r="IB5" s="16" t="s">
        <v>123</v>
      </c>
      <c r="IC5" s="16" t="s">
        <v>123</v>
      </c>
      <c r="ID5" s="16" t="s">
        <v>123</v>
      </c>
      <c r="IE5" s="16" t="s">
        <v>123</v>
      </c>
      <c r="IF5" s="16" t="s">
        <v>123</v>
      </c>
      <c r="IG5" s="16" t="s">
        <v>123</v>
      </c>
      <c r="IH5" s="16" t="s">
        <v>123</v>
      </c>
      <c r="II5" s="16" t="s">
        <v>123</v>
      </c>
      <c r="IJ5" s="16" t="s">
        <v>123</v>
      </c>
      <c r="IK5" s="16" t="s">
        <v>123</v>
      </c>
      <c r="IL5" s="16" t="s">
        <v>123</v>
      </c>
      <c r="IM5" s="16" t="s">
        <v>123</v>
      </c>
      <c r="IN5" s="16" t="s">
        <v>123</v>
      </c>
      <c r="IO5" s="16" t="s">
        <v>123</v>
      </c>
      <c r="IP5" s="16" t="s">
        <v>123</v>
      </c>
      <c r="IQ5" s="16" t="s">
        <v>123</v>
      </c>
      <c r="IR5" s="16" t="s">
        <v>123</v>
      </c>
      <c r="IS5" s="16" t="s">
        <v>123</v>
      </c>
      <c r="IT5" s="16" t="s">
        <v>123</v>
      </c>
      <c r="IU5" s="16" t="s">
        <v>123</v>
      </c>
      <c r="IV5" s="16" t="s">
        <v>123</v>
      </c>
    </row>
    <row r="6" spans="1:256" ht="15.75">
      <c r="A6" s="16"/>
      <c r="B6" s="322"/>
      <c r="C6" s="16"/>
      <c r="D6" s="16"/>
      <c r="E6" s="16"/>
      <c r="F6" s="16"/>
      <c r="G6" s="16"/>
      <c r="H6" s="16"/>
      <c r="I6" s="16"/>
      <c r="J6" s="16"/>
      <c r="K6" s="16"/>
      <c r="L6" s="16" t="s">
        <v>93</v>
      </c>
      <c r="M6" s="16" t="s">
        <v>93</v>
      </c>
      <c r="N6" s="16"/>
      <c r="O6" s="16"/>
      <c r="P6" s="16"/>
      <c r="Q6" s="16"/>
      <c r="R6" s="16"/>
      <c r="S6" s="16"/>
      <c r="T6" s="16" t="s">
        <v>93</v>
      </c>
      <c r="U6" s="16" t="s">
        <v>93</v>
      </c>
      <c r="V6" s="16" t="s">
        <v>93</v>
      </c>
      <c r="W6" s="16" t="s">
        <v>93</v>
      </c>
      <c r="X6" s="16" t="s">
        <v>93</v>
      </c>
      <c r="Y6" s="16" t="s">
        <v>93</v>
      </c>
      <c r="Z6" s="16" t="s">
        <v>93</v>
      </c>
      <c r="AA6" s="16" t="s">
        <v>93</v>
      </c>
      <c r="AB6" s="16" t="s">
        <v>93</v>
      </c>
      <c r="AC6" s="16" t="s">
        <v>93</v>
      </c>
      <c r="AD6" s="16" t="s">
        <v>93</v>
      </c>
      <c r="AE6" s="16" t="s">
        <v>93</v>
      </c>
      <c r="AF6" s="16" t="s">
        <v>93</v>
      </c>
      <c r="AG6" s="16" t="s">
        <v>93</v>
      </c>
      <c r="AH6" s="16" t="s">
        <v>93</v>
      </c>
      <c r="AI6" s="16" t="s">
        <v>93</v>
      </c>
      <c r="AJ6" s="16" t="s">
        <v>93</v>
      </c>
      <c r="AK6" s="16" t="s">
        <v>93</v>
      </c>
      <c r="AL6" s="16" t="s">
        <v>93</v>
      </c>
      <c r="AM6" s="16" t="s">
        <v>93</v>
      </c>
      <c r="AN6" s="16" t="s">
        <v>93</v>
      </c>
      <c r="AO6" s="16" t="s">
        <v>93</v>
      </c>
      <c r="AP6" s="16" t="s">
        <v>93</v>
      </c>
      <c r="AQ6" s="16" t="s">
        <v>93</v>
      </c>
      <c r="AR6" s="16" t="s">
        <v>93</v>
      </c>
      <c r="AS6" s="16" t="s">
        <v>93</v>
      </c>
      <c r="AT6" s="16" t="s">
        <v>93</v>
      </c>
      <c r="AU6" s="16" t="s">
        <v>93</v>
      </c>
      <c r="AV6" s="16" t="s">
        <v>93</v>
      </c>
      <c r="AW6" s="16" t="s">
        <v>93</v>
      </c>
      <c r="AX6" s="16" t="s">
        <v>93</v>
      </c>
      <c r="AY6" s="16" t="s">
        <v>93</v>
      </c>
      <c r="AZ6" s="16" t="s">
        <v>93</v>
      </c>
      <c r="BA6" s="16" t="s">
        <v>93</v>
      </c>
      <c r="BB6" s="16" t="s">
        <v>93</v>
      </c>
      <c r="BC6" s="16" t="s">
        <v>93</v>
      </c>
      <c r="BD6" s="16" t="s">
        <v>93</v>
      </c>
      <c r="BE6" s="16" t="s">
        <v>93</v>
      </c>
      <c r="BF6" s="16" t="s">
        <v>93</v>
      </c>
      <c r="BG6" s="16" t="s">
        <v>93</v>
      </c>
      <c r="BH6" s="16" t="s">
        <v>93</v>
      </c>
      <c r="BI6" s="16" t="s">
        <v>93</v>
      </c>
      <c r="BJ6" s="16" t="s">
        <v>93</v>
      </c>
      <c r="BK6" s="16" t="s">
        <v>93</v>
      </c>
      <c r="BL6" s="16" t="s">
        <v>93</v>
      </c>
      <c r="BM6" s="16" t="s">
        <v>93</v>
      </c>
      <c r="BN6" s="16" t="s">
        <v>93</v>
      </c>
      <c r="BO6" s="16" t="s">
        <v>93</v>
      </c>
      <c r="BP6" s="16" t="s">
        <v>93</v>
      </c>
      <c r="BQ6" s="16" t="s">
        <v>93</v>
      </c>
      <c r="BR6" s="16" t="s">
        <v>93</v>
      </c>
      <c r="BS6" s="16" t="s">
        <v>93</v>
      </c>
      <c r="BT6" s="16" t="s">
        <v>93</v>
      </c>
      <c r="BU6" s="16" t="s">
        <v>93</v>
      </c>
      <c r="BV6" s="16" t="s">
        <v>93</v>
      </c>
      <c r="BW6" s="16" t="s">
        <v>93</v>
      </c>
      <c r="BX6" s="16" t="s">
        <v>93</v>
      </c>
      <c r="BY6" s="16" t="s">
        <v>93</v>
      </c>
      <c r="BZ6" s="16" t="s">
        <v>93</v>
      </c>
      <c r="CA6" s="16" t="s">
        <v>93</v>
      </c>
      <c r="CB6" s="16" t="s">
        <v>93</v>
      </c>
      <c r="CC6" s="16" t="s">
        <v>93</v>
      </c>
      <c r="CD6" s="16" t="s">
        <v>93</v>
      </c>
      <c r="CE6" s="16" t="s">
        <v>93</v>
      </c>
      <c r="CF6" s="16" t="s">
        <v>93</v>
      </c>
      <c r="CG6" s="16" t="s">
        <v>93</v>
      </c>
      <c r="CH6" s="16" t="s">
        <v>93</v>
      </c>
      <c r="CI6" s="16" t="s">
        <v>93</v>
      </c>
      <c r="CJ6" s="16" t="s">
        <v>93</v>
      </c>
      <c r="CK6" s="16" t="s">
        <v>93</v>
      </c>
      <c r="CL6" s="16" t="s">
        <v>93</v>
      </c>
      <c r="CM6" s="16" t="s">
        <v>93</v>
      </c>
      <c r="CN6" s="16" t="s">
        <v>93</v>
      </c>
      <c r="CO6" s="16" t="s">
        <v>93</v>
      </c>
      <c r="CP6" s="16" t="s">
        <v>93</v>
      </c>
      <c r="CQ6" s="16" t="s">
        <v>93</v>
      </c>
      <c r="CR6" s="16" t="s">
        <v>93</v>
      </c>
      <c r="CS6" s="16" t="s">
        <v>93</v>
      </c>
      <c r="CT6" s="16" t="s">
        <v>93</v>
      </c>
      <c r="CU6" s="16" t="s">
        <v>93</v>
      </c>
      <c r="CV6" s="16" t="s">
        <v>93</v>
      </c>
      <c r="CW6" s="16" t="s">
        <v>93</v>
      </c>
      <c r="CX6" s="16" t="s">
        <v>93</v>
      </c>
      <c r="CY6" s="16" t="s">
        <v>93</v>
      </c>
      <c r="CZ6" s="16" t="s">
        <v>93</v>
      </c>
      <c r="DA6" s="16" t="s">
        <v>93</v>
      </c>
      <c r="DB6" s="16" t="s">
        <v>93</v>
      </c>
      <c r="DC6" s="16" t="s">
        <v>93</v>
      </c>
      <c r="DD6" s="16" t="s">
        <v>93</v>
      </c>
      <c r="DE6" s="16" t="s">
        <v>93</v>
      </c>
      <c r="DF6" s="16" t="s">
        <v>93</v>
      </c>
      <c r="DG6" s="16" t="s">
        <v>93</v>
      </c>
      <c r="DH6" s="16" t="s">
        <v>93</v>
      </c>
      <c r="DI6" s="16" t="s">
        <v>93</v>
      </c>
      <c r="DJ6" s="16" t="s">
        <v>93</v>
      </c>
      <c r="DK6" s="16" t="s">
        <v>93</v>
      </c>
      <c r="DL6" s="16" t="s">
        <v>93</v>
      </c>
      <c r="DM6" s="16" t="s">
        <v>93</v>
      </c>
      <c r="DN6" s="16" t="s">
        <v>93</v>
      </c>
      <c r="DO6" s="16" t="s">
        <v>93</v>
      </c>
      <c r="DP6" s="16" t="s">
        <v>93</v>
      </c>
      <c r="DQ6" s="16" t="s">
        <v>93</v>
      </c>
      <c r="DR6" s="16" t="s">
        <v>93</v>
      </c>
      <c r="DS6" s="16" t="s">
        <v>93</v>
      </c>
      <c r="DT6" s="16" t="s">
        <v>93</v>
      </c>
      <c r="DU6" s="16" t="s">
        <v>93</v>
      </c>
      <c r="DV6" s="16" t="s">
        <v>93</v>
      </c>
      <c r="DW6" s="16" t="s">
        <v>93</v>
      </c>
      <c r="DX6" s="16" t="s">
        <v>93</v>
      </c>
      <c r="DY6" s="16" t="s">
        <v>93</v>
      </c>
      <c r="DZ6" s="16" t="s">
        <v>93</v>
      </c>
      <c r="EA6" s="16" t="s">
        <v>93</v>
      </c>
      <c r="EB6" s="16" t="s">
        <v>93</v>
      </c>
      <c r="EC6" s="16" t="s">
        <v>93</v>
      </c>
      <c r="ED6" s="16" t="s">
        <v>93</v>
      </c>
      <c r="EE6" s="16" t="s">
        <v>93</v>
      </c>
      <c r="EF6" s="16" t="s">
        <v>93</v>
      </c>
      <c r="EG6" s="16" t="s">
        <v>93</v>
      </c>
      <c r="EH6" s="16" t="s">
        <v>93</v>
      </c>
      <c r="EI6" s="16" t="s">
        <v>93</v>
      </c>
      <c r="EJ6" s="16" t="s">
        <v>93</v>
      </c>
      <c r="EK6" s="16" t="s">
        <v>93</v>
      </c>
      <c r="EL6" s="16" t="s">
        <v>93</v>
      </c>
      <c r="EM6" s="16" t="s">
        <v>93</v>
      </c>
      <c r="EN6" s="16" t="s">
        <v>93</v>
      </c>
      <c r="EO6" s="16" t="s">
        <v>93</v>
      </c>
      <c r="EP6" s="16" t="s">
        <v>93</v>
      </c>
      <c r="EQ6" s="16" t="s">
        <v>93</v>
      </c>
      <c r="ER6" s="16" t="s">
        <v>93</v>
      </c>
      <c r="ES6" s="16" t="s">
        <v>93</v>
      </c>
      <c r="ET6" s="16" t="s">
        <v>93</v>
      </c>
      <c r="EU6" s="16" t="s">
        <v>93</v>
      </c>
      <c r="EV6" s="16" t="s">
        <v>93</v>
      </c>
      <c r="EW6" s="16" t="s">
        <v>93</v>
      </c>
      <c r="EX6" s="16" t="s">
        <v>93</v>
      </c>
      <c r="EY6" s="16" t="s">
        <v>93</v>
      </c>
      <c r="EZ6" s="16" t="s">
        <v>93</v>
      </c>
      <c r="FA6" s="16" t="s">
        <v>93</v>
      </c>
      <c r="FB6" s="16" t="s">
        <v>93</v>
      </c>
      <c r="FC6" s="16" t="s">
        <v>93</v>
      </c>
      <c r="FD6" s="16" t="s">
        <v>93</v>
      </c>
      <c r="FE6" s="16" t="s">
        <v>93</v>
      </c>
      <c r="FF6" s="16" t="s">
        <v>93</v>
      </c>
      <c r="FG6" s="16" t="s">
        <v>93</v>
      </c>
      <c r="FH6" s="16" t="s">
        <v>93</v>
      </c>
      <c r="FI6" s="16" t="s">
        <v>93</v>
      </c>
      <c r="FJ6" s="16" t="s">
        <v>93</v>
      </c>
      <c r="FK6" s="16" t="s">
        <v>93</v>
      </c>
      <c r="FL6" s="16" t="s">
        <v>93</v>
      </c>
      <c r="FM6" s="16" t="s">
        <v>93</v>
      </c>
      <c r="FN6" s="16" t="s">
        <v>93</v>
      </c>
      <c r="FO6" s="16" t="s">
        <v>93</v>
      </c>
      <c r="FP6" s="16" t="s">
        <v>93</v>
      </c>
      <c r="FQ6" s="16" t="s">
        <v>93</v>
      </c>
      <c r="FR6" s="16" t="s">
        <v>93</v>
      </c>
      <c r="FS6" s="16" t="s">
        <v>93</v>
      </c>
      <c r="FT6" s="16" t="s">
        <v>93</v>
      </c>
      <c r="FU6" s="16" t="s">
        <v>93</v>
      </c>
      <c r="FV6" s="16" t="s">
        <v>93</v>
      </c>
      <c r="FW6" s="16" t="s">
        <v>93</v>
      </c>
      <c r="FX6" s="16" t="s">
        <v>93</v>
      </c>
      <c r="FY6" s="16" t="s">
        <v>93</v>
      </c>
      <c r="FZ6" s="16" t="s">
        <v>93</v>
      </c>
      <c r="GA6" s="16" t="s">
        <v>93</v>
      </c>
      <c r="GB6" s="16" t="s">
        <v>93</v>
      </c>
      <c r="GC6" s="16" t="s">
        <v>93</v>
      </c>
      <c r="GD6" s="16" t="s">
        <v>93</v>
      </c>
      <c r="GE6" s="16" t="s">
        <v>93</v>
      </c>
      <c r="GF6" s="16" t="s">
        <v>93</v>
      </c>
      <c r="GG6" s="16" t="s">
        <v>93</v>
      </c>
      <c r="GH6" s="16" t="s">
        <v>93</v>
      </c>
      <c r="GI6" s="16" t="s">
        <v>93</v>
      </c>
      <c r="GJ6" s="16" t="s">
        <v>93</v>
      </c>
      <c r="GK6" s="16" t="s">
        <v>93</v>
      </c>
      <c r="GL6" s="16" t="s">
        <v>93</v>
      </c>
      <c r="GM6" s="16" t="s">
        <v>93</v>
      </c>
      <c r="GN6" s="16" t="s">
        <v>93</v>
      </c>
      <c r="GO6" s="16" t="s">
        <v>93</v>
      </c>
      <c r="GP6" s="16" t="s">
        <v>93</v>
      </c>
      <c r="GQ6" s="16" t="s">
        <v>93</v>
      </c>
      <c r="GR6" s="16" t="s">
        <v>93</v>
      </c>
      <c r="GS6" s="16" t="s">
        <v>93</v>
      </c>
      <c r="GT6" s="16" t="s">
        <v>93</v>
      </c>
      <c r="GU6" s="16" t="s">
        <v>93</v>
      </c>
      <c r="GV6" s="16" t="s">
        <v>93</v>
      </c>
      <c r="GW6" s="16" t="s">
        <v>93</v>
      </c>
      <c r="GX6" s="16" t="s">
        <v>93</v>
      </c>
      <c r="GY6" s="16" t="s">
        <v>93</v>
      </c>
      <c r="GZ6" s="16" t="s">
        <v>93</v>
      </c>
      <c r="HA6" s="16" t="s">
        <v>93</v>
      </c>
      <c r="HB6" s="16" t="s">
        <v>93</v>
      </c>
      <c r="HC6" s="16" t="s">
        <v>93</v>
      </c>
      <c r="HD6" s="16" t="s">
        <v>93</v>
      </c>
      <c r="HE6" s="16" t="s">
        <v>93</v>
      </c>
      <c r="HF6" s="16" t="s">
        <v>93</v>
      </c>
      <c r="HG6" s="16" t="s">
        <v>93</v>
      </c>
      <c r="HH6" s="16" t="s">
        <v>93</v>
      </c>
      <c r="HI6" s="16" t="s">
        <v>93</v>
      </c>
      <c r="HJ6" s="16" t="s">
        <v>93</v>
      </c>
      <c r="HK6" s="16" t="s">
        <v>93</v>
      </c>
      <c r="HL6" s="16" t="s">
        <v>93</v>
      </c>
      <c r="HM6" s="16" t="s">
        <v>93</v>
      </c>
      <c r="HN6" s="16" t="s">
        <v>93</v>
      </c>
      <c r="HO6" s="16" t="s">
        <v>93</v>
      </c>
      <c r="HP6" s="16" t="s">
        <v>93</v>
      </c>
      <c r="HQ6" s="16" t="s">
        <v>93</v>
      </c>
      <c r="HR6" s="16" t="s">
        <v>93</v>
      </c>
      <c r="HS6" s="16" t="s">
        <v>93</v>
      </c>
      <c r="HT6" s="16" t="s">
        <v>93</v>
      </c>
      <c r="HU6" s="16" t="s">
        <v>93</v>
      </c>
      <c r="HV6" s="16" t="s">
        <v>93</v>
      </c>
      <c r="HW6" s="16" t="s">
        <v>93</v>
      </c>
      <c r="HX6" s="16" t="s">
        <v>93</v>
      </c>
      <c r="HY6" s="16" t="s">
        <v>93</v>
      </c>
      <c r="HZ6" s="16" t="s">
        <v>93</v>
      </c>
      <c r="IA6" s="16" t="s">
        <v>93</v>
      </c>
      <c r="IB6" s="16" t="s">
        <v>93</v>
      </c>
      <c r="IC6" s="16" t="s">
        <v>93</v>
      </c>
      <c r="ID6" s="16" t="s">
        <v>93</v>
      </c>
      <c r="IE6" s="16" t="s">
        <v>93</v>
      </c>
      <c r="IF6" s="16" t="s">
        <v>93</v>
      </c>
      <c r="IG6" s="16" t="s">
        <v>93</v>
      </c>
      <c r="IH6" s="16" t="s">
        <v>93</v>
      </c>
      <c r="II6" s="16" t="s">
        <v>93</v>
      </c>
      <c r="IJ6" s="16" t="s">
        <v>93</v>
      </c>
      <c r="IK6" s="16" t="s">
        <v>93</v>
      </c>
      <c r="IL6" s="16" t="s">
        <v>93</v>
      </c>
      <c r="IM6" s="16" t="s">
        <v>93</v>
      </c>
      <c r="IN6" s="16" t="s">
        <v>93</v>
      </c>
      <c r="IO6" s="16" t="s">
        <v>93</v>
      </c>
      <c r="IP6" s="16" t="s">
        <v>93</v>
      </c>
      <c r="IQ6" s="16" t="s">
        <v>93</v>
      </c>
      <c r="IR6" s="16" t="s">
        <v>93</v>
      </c>
      <c r="IS6" s="16" t="s">
        <v>93</v>
      </c>
      <c r="IT6" s="16" t="s">
        <v>93</v>
      </c>
      <c r="IU6" s="16" t="s">
        <v>93</v>
      </c>
      <c r="IV6" s="16" t="s">
        <v>93</v>
      </c>
    </row>
    <row r="7" spans="1:18" ht="30.75" customHeight="1">
      <c r="A7" s="532" t="s">
        <v>178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26"/>
      <c r="O7" s="27"/>
      <c r="P7" s="28"/>
      <c r="Q7" s="28"/>
      <c r="R7" s="28"/>
    </row>
    <row r="8" spans="1:18" ht="18.75">
      <c r="A8" s="533" t="s">
        <v>179</v>
      </c>
      <c r="B8" s="533"/>
      <c r="C8" s="533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31"/>
      <c r="O8" s="32"/>
      <c r="P8" s="33"/>
      <c r="Q8" s="33"/>
      <c r="R8" s="33"/>
    </row>
    <row r="9" spans="1:18" ht="20.25" thickBot="1">
      <c r="A9" s="534" t="s">
        <v>180</v>
      </c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36"/>
      <c r="O9" s="37"/>
      <c r="P9" s="3"/>
      <c r="Q9" s="3"/>
      <c r="R9" s="3" t="s">
        <v>181</v>
      </c>
    </row>
    <row r="10" spans="1:18" ht="20.25" thickBot="1">
      <c r="A10" s="668"/>
      <c r="B10" s="668"/>
      <c r="C10" s="668"/>
      <c r="D10" s="668"/>
      <c r="E10" s="668"/>
      <c r="F10" s="668"/>
      <c r="G10" s="668"/>
      <c r="H10" s="668"/>
      <c r="I10" s="668"/>
      <c r="J10" s="668"/>
      <c r="K10" s="668"/>
      <c r="L10" s="668"/>
      <c r="M10" s="39"/>
      <c r="N10" s="39"/>
      <c r="O10" s="323">
        <v>0.2</v>
      </c>
      <c r="P10" s="669" t="s">
        <v>182</v>
      </c>
      <c r="Q10" s="670"/>
      <c r="R10" s="324">
        <v>100</v>
      </c>
    </row>
    <row r="11" spans="1:18" ht="19.5" customHeight="1" thickBot="1">
      <c r="A11" s="671"/>
      <c r="B11" s="645" t="s">
        <v>59</v>
      </c>
      <c r="C11" s="648" t="s">
        <v>183</v>
      </c>
      <c r="D11" s="325"/>
      <c r="E11" s="676" t="s">
        <v>184</v>
      </c>
      <c r="F11" s="676"/>
      <c r="G11" s="676"/>
      <c r="H11" s="676"/>
      <c r="I11" s="676"/>
      <c r="J11" s="676"/>
      <c r="K11" s="676"/>
      <c r="L11" s="676"/>
      <c r="M11" s="677"/>
      <c r="N11" s="44"/>
      <c r="O11" s="678" t="s">
        <v>184</v>
      </c>
      <c r="P11" s="679"/>
      <c r="Q11" s="679"/>
      <c r="R11" s="680"/>
    </row>
    <row r="12" spans="1:18" ht="25.5" customHeight="1" thickBot="1">
      <c r="A12" s="672"/>
      <c r="B12" s="647"/>
      <c r="C12" s="650"/>
      <c r="D12" s="576" t="s">
        <v>185</v>
      </c>
      <c r="E12" s="577"/>
      <c r="F12" s="665" t="s">
        <v>186</v>
      </c>
      <c r="G12" s="562"/>
      <c r="H12" s="665" t="s">
        <v>100</v>
      </c>
      <c r="I12" s="562"/>
      <c r="J12" s="666" t="s">
        <v>101</v>
      </c>
      <c r="K12" s="577"/>
      <c r="L12" s="563" t="s">
        <v>102</v>
      </c>
      <c r="M12" s="564"/>
      <c r="N12" s="47"/>
      <c r="O12" s="326" t="str">
        <f>F12</f>
        <v>ФВC</v>
      </c>
      <c r="P12" s="327" t="str">
        <f>H12</f>
        <v>ФПС</v>
      </c>
      <c r="Q12" s="328" t="str">
        <f>J12</f>
        <v>ФНС</v>
      </c>
      <c r="R12" s="329" t="str">
        <f>L12</f>
        <v>ФВСОтправления</v>
      </c>
    </row>
    <row r="13" spans="1:18" ht="15.75" customHeight="1" thickBot="1">
      <c r="A13" s="673"/>
      <c r="B13" s="674"/>
      <c r="C13" s="675"/>
      <c r="D13" s="330"/>
      <c r="E13" s="514" t="s">
        <v>187</v>
      </c>
      <c r="F13" s="514"/>
      <c r="G13" s="514"/>
      <c r="H13" s="514"/>
      <c r="I13" s="514"/>
      <c r="J13" s="514"/>
      <c r="K13" s="514"/>
      <c r="L13" s="514"/>
      <c r="M13" s="667"/>
      <c r="N13" s="5"/>
      <c r="O13" s="658" t="s">
        <v>187</v>
      </c>
      <c r="P13" s="659"/>
      <c r="Q13" s="659"/>
      <c r="R13" s="660"/>
    </row>
    <row r="14" spans="1:18" ht="24.75" customHeight="1" thickBot="1">
      <c r="A14" s="6"/>
      <c r="B14" s="661" t="s">
        <v>188</v>
      </c>
      <c r="C14" s="331" t="s">
        <v>189</v>
      </c>
      <c r="D14" s="332"/>
      <c r="E14" s="333">
        <v>7.44</v>
      </c>
      <c r="F14" s="101"/>
      <c r="G14" s="334">
        <v>8.98</v>
      </c>
      <c r="H14" s="101"/>
      <c r="I14" s="335">
        <v>11.57</v>
      </c>
      <c r="J14" s="336"/>
      <c r="K14" s="337">
        <v>17.77</v>
      </c>
      <c r="L14" s="101"/>
      <c r="M14" s="338">
        <v>21.9</v>
      </c>
      <c r="N14" s="5"/>
      <c r="O14" s="339"/>
      <c r="P14" s="5"/>
      <c r="Q14" s="5"/>
      <c r="R14" s="340"/>
    </row>
    <row r="15" spans="1:18" ht="25.5" customHeight="1" thickBot="1">
      <c r="A15" s="664"/>
      <c r="B15" s="662"/>
      <c r="C15" s="331" t="s">
        <v>190</v>
      </c>
      <c r="D15" s="341"/>
      <c r="E15" s="342" t="s">
        <v>191</v>
      </c>
      <c r="F15" s="343">
        <v>85000</v>
      </c>
      <c r="G15" s="344">
        <v>8.78</v>
      </c>
      <c r="H15" s="343">
        <v>110000</v>
      </c>
      <c r="I15" s="345">
        <v>11.37</v>
      </c>
      <c r="J15" s="346">
        <v>170000</v>
      </c>
      <c r="K15" s="347">
        <v>17.57</v>
      </c>
      <c r="L15" s="343">
        <v>210000</v>
      </c>
      <c r="M15" s="345">
        <v>21.7</v>
      </c>
      <c r="N15" s="59"/>
      <c r="O15" s="348"/>
      <c r="P15" s="349"/>
      <c r="Q15" s="349"/>
      <c r="R15" s="350"/>
    </row>
    <row r="16" spans="1:18" ht="29.25" customHeight="1" thickBot="1">
      <c r="A16" s="664"/>
      <c r="B16" s="663"/>
      <c r="C16" s="331" t="s">
        <v>192</v>
      </c>
      <c r="D16" s="351">
        <v>70000</v>
      </c>
      <c r="E16" s="352">
        <v>7.04</v>
      </c>
      <c r="F16" s="353"/>
      <c r="G16" s="352">
        <v>8.58</v>
      </c>
      <c r="H16" s="353"/>
      <c r="I16" s="354">
        <v>11.17</v>
      </c>
      <c r="J16" s="355"/>
      <c r="K16" s="356">
        <v>17.37</v>
      </c>
      <c r="L16" s="353"/>
      <c r="M16" s="357">
        <v>21.5</v>
      </c>
      <c r="N16" s="66"/>
      <c r="O16" s="358">
        <f>ROUND(F15+(F15*$O$10),$R$10)</f>
        <v>102000</v>
      </c>
      <c r="P16" s="359">
        <f>ROUND(H15+(H15*$O$10),$S$10)</f>
        <v>132000</v>
      </c>
      <c r="Q16" s="359">
        <f>ROUND(J15+(J15*$O$10),$R$10)</f>
        <v>204000</v>
      </c>
      <c r="R16" s="360">
        <f>ROUND(L15+(L15*$O$10),$R$10)</f>
        <v>252000</v>
      </c>
    </row>
    <row r="17" spans="1:18" ht="29.25" customHeight="1" thickBot="1">
      <c r="A17" s="664"/>
      <c r="B17" s="361" t="s">
        <v>193</v>
      </c>
      <c r="C17" s="331" t="s">
        <v>189</v>
      </c>
      <c r="D17" s="362"/>
      <c r="E17" s="342" t="s">
        <v>194</v>
      </c>
      <c r="F17" s="343"/>
      <c r="G17" s="344">
        <v>10.02</v>
      </c>
      <c r="H17" s="363"/>
      <c r="I17" s="345">
        <v>12.6</v>
      </c>
      <c r="J17" s="364"/>
      <c r="K17" s="347">
        <v>18.8</v>
      </c>
      <c r="L17" s="363"/>
      <c r="M17" s="345">
        <v>22.93</v>
      </c>
      <c r="N17" s="59"/>
      <c r="O17" s="365"/>
      <c r="P17" s="366"/>
      <c r="Q17" s="366"/>
      <c r="R17" s="367"/>
    </row>
    <row r="18" spans="1:18" ht="31.5" customHeight="1" thickBot="1">
      <c r="A18" s="664"/>
      <c r="B18" s="368" t="s">
        <v>195</v>
      </c>
      <c r="C18" s="331" t="s">
        <v>190</v>
      </c>
      <c r="D18" s="287"/>
      <c r="E18" s="342" t="s">
        <v>196</v>
      </c>
      <c r="F18" s="369">
        <v>95000</v>
      </c>
      <c r="G18" s="344">
        <v>9.82</v>
      </c>
      <c r="H18" s="370">
        <v>120000</v>
      </c>
      <c r="I18" s="345">
        <v>12.4</v>
      </c>
      <c r="J18" s="371">
        <v>180000</v>
      </c>
      <c r="K18" s="347">
        <v>18.6</v>
      </c>
      <c r="L18" s="370">
        <v>220000</v>
      </c>
      <c r="M18" s="345">
        <v>22.73</v>
      </c>
      <c r="N18" s="59"/>
      <c r="O18" s="372"/>
      <c r="P18" s="373"/>
      <c r="Q18" s="373"/>
      <c r="R18" s="374"/>
    </row>
    <row r="19" spans="1:18" ht="33" customHeight="1" thickBot="1">
      <c r="A19" s="664"/>
      <c r="B19" s="368" t="s">
        <v>197</v>
      </c>
      <c r="C19" s="331" t="s">
        <v>192</v>
      </c>
      <c r="D19" s="287"/>
      <c r="E19" s="342" t="s">
        <v>198</v>
      </c>
      <c r="F19" s="343"/>
      <c r="G19" s="344">
        <v>9.62</v>
      </c>
      <c r="H19" s="363"/>
      <c r="I19" s="345">
        <v>12.2</v>
      </c>
      <c r="J19" s="364"/>
      <c r="K19" s="347">
        <v>18.4</v>
      </c>
      <c r="L19" s="363"/>
      <c r="M19" s="345">
        <v>22.53</v>
      </c>
      <c r="N19" s="66"/>
      <c r="O19" s="375"/>
      <c r="P19" s="359"/>
      <c r="Q19" s="359"/>
      <c r="R19" s="360"/>
    </row>
    <row r="20" spans="1:18" ht="31.5" customHeight="1" thickBot="1">
      <c r="A20" s="664"/>
      <c r="B20" s="376" t="s">
        <v>199</v>
      </c>
      <c r="C20" s="331" t="s">
        <v>189</v>
      </c>
      <c r="D20" s="377"/>
      <c r="E20" s="342" t="s">
        <v>200</v>
      </c>
      <c r="F20" s="343"/>
      <c r="G20" s="344">
        <f>8.27+0.2</f>
        <v>8.469999999999999</v>
      </c>
      <c r="H20" s="363"/>
      <c r="I20" s="345">
        <f>10.33+0.2</f>
        <v>10.53</v>
      </c>
      <c r="J20" s="364"/>
      <c r="K20" s="347">
        <f>16.53+0.2</f>
        <v>16.73</v>
      </c>
      <c r="L20" s="363"/>
      <c r="M20" s="345">
        <f>20.66+0.2</f>
        <v>20.86</v>
      </c>
      <c r="N20" s="59"/>
      <c r="O20" s="372"/>
      <c r="P20" s="373"/>
      <c r="Q20" s="373"/>
      <c r="R20" s="374"/>
    </row>
    <row r="21" spans="1:18" ht="33" customHeight="1" thickBot="1">
      <c r="A21" s="664"/>
      <c r="B21" s="378" t="s">
        <v>201</v>
      </c>
      <c r="C21" s="331" t="s">
        <v>190</v>
      </c>
      <c r="D21" s="379"/>
      <c r="E21" s="342" t="s">
        <v>202</v>
      </c>
      <c r="F21" s="343"/>
      <c r="G21" s="344">
        <v>8.27</v>
      </c>
      <c r="H21" s="363"/>
      <c r="I21" s="345">
        <v>10.33</v>
      </c>
      <c r="J21" s="364"/>
      <c r="K21" s="347">
        <v>16.53</v>
      </c>
      <c r="L21" s="363"/>
      <c r="M21" s="345">
        <v>20.66</v>
      </c>
      <c r="N21" s="66"/>
      <c r="O21" s="375"/>
      <c r="P21" s="359"/>
      <c r="Q21" s="359"/>
      <c r="R21" s="360"/>
    </row>
    <row r="22" spans="1:18" ht="30" customHeight="1" thickBot="1">
      <c r="A22" s="664"/>
      <c r="B22" s="380" t="s">
        <v>203</v>
      </c>
      <c r="C22" s="331" t="s">
        <v>192</v>
      </c>
      <c r="D22" s="379"/>
      <c r="E22" s="342" t="s">
        <v>204</v>
      </c>
      <c r="F22" s="343"/>
      <c r="G22" s="344">
        <f>8.27-0.2</f>
        <v>8.07</v>
      </c>
      <c r="H22" s="363"/>
      <c r="I22" s="345">
        <f>10.33-0.2</f>
        <v>10.13</v>
      </c>
      <c r="J22" s="364"/>
      <c r="K22" s="347">
        <f>16.53-0.2</f>
        <v>16.330000000000002</v>
      </c>
      <c r="L22" s="363"/>
      <c r="M22" s="345">
        <f>20.66-0.2</f>
        <v>20.46</v>
      </c>
      <c r="N22" s="59"/>
      <c r="O22" s="365"/>
      <c r="P22" s="366"/>
      <c r="Q22" s="366"/>
      <c r="R22" s="367"/>
    </row>
    <row r="23" spans="1:18" ht="18.75" hidden="1">
      <c r="A23" s="657"/>
      <c r="B23" s="382"/>
      <c r="C23" s="62"/>
      <c r="D23" s="62"/>
      <c r="E23" s="62"/>
      <c r="F23" s="383"/>
      <c r="G23" s="383"/>
      <c r="H23" s="383"/>
      <c r="I23" s="383"/>
      <c r="J23" s="383"/>
      <c r="K23" s="383"/>
      <c r="L23" s="383"/>
      <c r="M23" s="383"/>
      <c r="N23" s="383"/>
      <c r="O23" s="60"/>
      <c r="P23" s="60"/>
      <c r="Q23" s="60"/>
      <c r="R23" s="60"/>
    </row>
    <row r="24" spans="1:18" ht="13.5" customHeight="1">
      <c r="A24" s="657"/>
      <c r="B24" s="382"/>
      <c r="C24" s="62"/>
      <c r="D24" s="62"/>
      <c r="E24" s="62"/>
      <c r="F24" s="205"/>
      <c r="G24" s="205"/>
      <c r="H24" s="205"/>
      <c r="I24" s="205"/>
      <c r="J24" s="384"/>
      <c r="K24" s="385"/>
      <c r="L24" s="205"/>
      <c r="M24" s="205"/>
      <c r="N24" s="205"/>
      <c r="O24" s="60"/>
      <c r="P24" s="60"/>
      <c r="Q24" s="60"/>
      <c r="R24" s="60"/>
    </row>
    <row r="25" spans="1:18" ht="18.75" hidden="1">
      <c r="A25" s="657"/>
      <c r="B25" s="386"/>
      <c r="C25" s="62"/>
      <c r="D25" s="62"/>
      <c r="E25" s="62"/>
      <c r="F25" s="383"/>
      <c r="G25" s="383"/>
      <c r="H25" s="383"/>
      <c r="I25" s="383"/>
      <c r="J25" s="383"/>
      <c r="K25" s="383"/>
      <c r="L25" s="383"/>
      <c r="M25" s="383"/>
      <c r="N25" s="383"/>
      <c r="O25" s="60"/>
      <c r="P25" s="60"/>
      <c r="Q25" s="60"/>
      <c r="R25" s="60"/>
    </row>
    <row r="26" spans="1:18" ht="24" customHeight="1">
      <c r="A26" s="117"/>
      <c r="B26" s="8" t="s">
        <v>205</v>
      </c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7" t="s">
        <v>120</v>
      </c>
      <c r="N26" s="386"/>
      <c r="O26" s="118"/>
      <c r="P26" s="118"/>
      <c r="Q26" s="118"/>
      <c r="R26" s="118"/>
    </row>
    <row r="27" spans="1:18" ht="15" customHeight="1">
      <c r="A27" s="92"/>
      <c r="B27" s="382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118"/>
      <c r="P27" s="118"/>
      <c r="Q27" s="118"/>
      <c r="R27" s="118"/>
    </row>
    <row r="28" spans="1:18" ht="18.75">
      <c r="A28" s="657"/>
      <c r="B28" s="382"/>
      <c r="C28" s="62"/>
      <c r="D28" s="62"/>
      <c r="E28" s="62"/>
      <c r="F28" s="383"/>
      <c r="G28" s="383"/>
      <c r="H28" s="383"/>
      <c r="I28" s="383"/>
      <c r="J28" s="383"/>
      <c r="K28" s="383"/>
      <c r="L28" s="383"/>
      <c r="M28" s="383"/>
      <c r="N28" s="383"/>
      <c r="O28" s="60"/>
      <c r="P28" s="60"/>
      <c r="Q28" s="60"/>
      <c r="R28" s="60"/>
    </row>
    <row r="29" spans="1:18" ht="15.75">
      <c r="A29" s="657"/>
      <c r="B29" s="117"/>
      <c r="J29" s="66"/>
      <c r="K29" s="66"/>
      <c r="L29" s="66"/>
      <c r="M29" s="66"/>
      <c r="N29" s="66"/>
      <c r="O29" s="60"/>
      <c r="P29" s="60"/>
      <c r="Q29" s="60"/>
      <c r="R29" s="60"/>
    </row>
    <row r="30" spans="1:18" ht="15.75">
      <c r="A30" s="657"/>
      <c r="B30" s="92"/>
      <c r="C30" s="389"/>
      <c r="D30" s="389"/>
      <c r="E30" s="389"/>
      <c r="F30" s="59"/>
      <c r="G30" s="59"/>
      <c r="H30" s="59"/>
      <c r="I30" s="59"/>
      <c r="J30" s="59"/>
      <c r="K30" s="59"/>
      <c r="L30" s="59"/>
      <c r="M30" s="59"/>
      <c r="N30" s="59"/>
      <c r="O30" s="60"/>
      <c r="P30" s="60"/>
      <c r="Q30" s="60"/>
      <c r="R30" s="60"/>
    </row>
    <row r="31" spans="1:18" ht="14.25" hidden="1">
      <c r="A31" s="117"/>
      <c r="B31" s="655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  <c r="P31" s="118"/>
      <c r="Q31" s="118"/>
      <c r="R31" s="118"/>
    </row>
    <row r="32" spans="1:18" ht="15" hidden="1">
      <c r="A32" s="92"/>
      <c r="B32" s="655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118"/>
      <c r="P32" s="118"/>
      <c r="Q32" s="118"/>
      <c r="R32" s="118"/>
    </row>
    <row r="33" spans="1:18" ht="15.75" hidden="1">
      <c r="A33" s="657"/>
      <c r="B33" s="655"/>
      <c r="C33" s="389"/>
      <c r="D33" s="389"/>
      <c r="E33" s="389"/>
      <c r="F33" s="59"/>
      <c r="G33" s="59"/>
      <c r="H33" s="59"/>
      <c r="I33" s="59"/>
      <c r="J33" s="59"/>
      <c r="K33" s="59"/>
      <c r="L33" s="59"/>
      <c r="M33" s="59"/>
      <c r="N33" s="59"/>
      <c r="O33" s="60"/>
      <c r="P33" s="60"/>
      <c r="Q33" s="60"/>
      <c r="R33" s="60"/>
    </row>
    <row r="34" spans="1:18" ht="15.75" hidden="1">
      <c r="A34" s="657"/>
      <c r="B34" s="117"/>
      <c r="C34" s="389"/>
      <c r="D34" s="389"/>
      <c r="E34" s="389"/>
      <c r="F34" s="66"/>
      <c r="G34" s="66"/>
      <c r="H34" s="66"/>
      <c r="I34" s="66"/>
      <c r="J34" s="66"/>
      <c r="K34" s="66"/>
      <c r="L34" s="66"/>
      <c r="M34" s="66"/>
      <c r="N34" s="66"/>
      <c r="O34" s="60"/>
      <c r="P34" s="60"/>
      <c r="Q34" s="60"/>
      <c r="R34" s="60"/>
    </row>
    <row r="35" spans="1:18" ht="15" hidden="1">
      <c r="A35" s="117"/>
      <c r="B35" s="92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8"/>
      <c r="P35" s="118"/>
      <c r="Q35" s="118"/>
      <c r="R35" s="118"/>
    </row>
    <row r="36" spans="1:18" ht="15" hidden="1">
      <c r="A36" s="92"/>
      <c r="B36" s="655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118"/>
      <c r="P36" s="118"/>
      <c r="Q36" s="118"/>
      <c r="R36" s="118"/>
    </row>
    <row r="37" spans="1:18" ht="15.75" hidden="1">
      <c r="A37" s="657"/>
      <c r="B37" s="655"/>
      <c r="C37" s="389"/>
      <c r="D37" s="389"/>
      <c r="E37" s="389"/>
      <c r="F37" s="656"/>
      <c r="G37" s="132"/>
      <c r="H37" s="656"/>
      <c r="I37" s="132"/>
      <c r="J37" s="656"/>
      <c r="K37" s="132"/>
      <c r="L37" s="656"/>
      <c r="M37" s="132"/>
      <c r="N37" s="132"/>
      <c r="O37" s="506"/>
      <c r="P37" s="506"/>
      <c r="Q37" s="506"/>
      <c r="R37" s="506"/>
    </row>
    <row r="38" spans="1:18" ht="15.75" hidden="1">
      <c r="A38" s="657"/>
      <c r="B38" s="117"/>
      <c r="C38" s="389"/>
      <c r="D38" s="389"/>
      <c r="E38" s="389"/>
      <c r="F38" s="656"/>
      <c r="G38" s="132"/>
      <c r="H38" s="656"/>
      <c r="I38" s="132"/>
      <c r="J38" s="656"/>
      <c r="K38" s="132"/>
      <c r="L38" s="656"/>
      <c r="M38" s="132"/>
      <c r="N38" s="132"/>
      <c r="O38" s="506"/>
      <c r="P38" s="506"/>
      <c r="Q38" s="506"/>
      <c r="R38" s="506"/>
    </row>
    <row r="39" spans="1:18" ht="15" hidden="1">
      <c r="A39" s="117"/>
      <c r="B39" s="92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8"/>
      <c r="P39" s="118"/>
      <c r="Q39" s="118"/>
      <c r="R39" s="118"/>
    </row>
    <row r="40" spans="1:18" ht="15" hidden="1">
      <c r="A40" s="92"/>
      <c r="B40" s="655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118"/>
      <c r="P40" s="118"/>
      <c r="Q40" s="118"/>
      <c r="R40" s="118"/>
    </row>
    <row r="41" spans="1:18" ht="15.75" hidden="1">
      <c r="A41" s="657"/>
      <c r="B41" s="655"/>
      <c r="C41" s="389"/>
      <c r="D41" s="389"/>
      <c r="E41" s="389"/>
      <c r="F41" s="66"/>
      <c r="G41" s="66"/>
      <c r="H41" s="66"/>
      <c r="I41" s="66"/>
      <c r="J41" s="66"/>
      <c r="K41" s="66"/>
      <c r="L41" s="66"/>
      <c r="M41" s="66"/>
      <c r="N41" s="66"/>
      <c r="O41" s="60"/>
      <c r="P41" s="60"/>
      <c r="Q41" s="60"/>
      <c r="R41" s="60"/>
    </row>
    <row r="42" spans="1:18" ht="15.75" hidden="1">
      <c r="A42" s="657"/>
      <c r="B42" s="117"/>
      <c r="C42" s="389"/>
      <c r="D42" s="389"/>
      <c r="E42" s="389"/>
      <c r="F42" s="59"/>
      <c r="G42" s="59"/>
      <c r="H42" s="59"/>
      <c r="I42" s="59"/>
      <c r="J42" s="59"/>
      <c r="K42" s="59"/>
      <c r="L42" s="59"/>
      <c r="M42" s="59"/>
      <c r="N42" s="59"/>
      <c r="O42" s="60"/>
      <c r="P42" s="60"/>
      <c r="Q42" s="60"/>
      <c r="R42" s="60"/>
    </row>
    <row r="43" spans="1:18" ht="15" hidden="1">
      <c r="A43" s="117"/>
      <c r="B43" s="92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8"/>
      <c r="P43" s="118"/>
      <c r="Q43" s="118"/>
      <c r="R43" s="118"/>
    </row>
    <row r="44" spans="1:18" ht="15" hidden="1">
      <c r="A44" s="92"/>
      <c r="B44" s="655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118"/>
      <c r="P44" s="118"/>
      <c r="Q44" s="118"/>
      <c r="R44" s="118"/>
    </row>
    <row r="45" spans="1:18" ht="15.75" hidden="1">
      <c r="A45" s="381"/>
      <c r="B45" s="655"/>
      <c r="C45" s="390"/>
      <c r="D45" s="390"/>
      <c r="E45" s="390"/>
      <c r="F45" s="132"/>
      <c r="G45" s="132"/>
      <c r="H45" s="132"/>
      <c r="I45" s="132"/>
      <c r="J45" s="132"/>
      <c r="K45" s="132"/>
      <c r="L45" s="132"/>
      <c r="M45" s="132"/>
      <c r="N45" s="132"/>
      <c r="O45" s="60"/>
      <c r="P45" s="60"/>
      <c r="Q45" s="60"/>
      <c r="R45" s="60"/>
    </row>
    <row r="46" spans="2:13" ht="14.25">
      <c r="B46" s="11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</row>
    <row r="47" spans="2:13" ht="15">
      <c r="B47" s="92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</row>
    <row r="48" spans="2:13" ht="15.75">
      <c r="B48" s="389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</row>
  </sheetData>
  <sheetProtection/>
  <mergeCells count="36">
    <mergeCell ref="A7:M7"/>
    <mergeCell ref="A8:M8"/>
    <mergeCell ref="A9:M9"/>
    <mergeCell ref="A10:L10"/>
    <mergeCell ref="P10:Q10"/>
    <mergeCell ref="A11:A13"/>
    <mergeCell ref="B11:B13"/>
    <mergeCell ref="C11:C13"/>
    <mergeCell ref="E11:M11"/>
    <mergeCell ref="O11:R11"/>
    <mergeCell ref="D12:E12"/>
    <mergeCell ref="F12:G12"/>
    <mergeCell ref="H12:I12"/>
    <mergeCell ref="J12:K12"/>
    <mergeCell ref="L12:M12"/>
    <mergeCell ref="E13:M13"/>
    <mergeCell ref="O13:R13"/>
    <mergeCell ref="B14:B16"/>
    <mergeCell ref="A15:A22"/>
    <mergeCell ref="A23:A25"/>
    <mergeCell ref="A28:A30"/>
    <mergeCell ref="B31:B33"/>
    <mergeCell ref="A33:A34"/>
    <mergeCell ref="A41:A42"/>
    <mergeCell ref="B36:B37"/>
    <mergeCell ref="A37:A38"/>
    <mergeCell ref="F37:F38"/>
    <mergeCell ref="H37:H38"/>
    <mergeCell ref="J37:J38"/>
    <mergeCell ref="B44:B45"/>
    <mergeCell ref="O37:O38"/>
    <mergeCell ref="P37:P38"/>
    <mergeCell ref="Q37:Q38"/>
    <mergeCell ref="R37:R38"/>
    <mergeCell ref="B40:B41"/>
    <mergeCell ref="L37:L38"/>
  </mergeCells>
  <printOptions/>
  <pageMargins left="0.75" right="0.75" top="1" bottom="1" header="0.5" footer="0.5"/>
  <pageSetup fitToHeight="1" fitToWidth="1" horizontalDpi="600" verticalDpi="600" orientation="landscape" paperSize="9" scale="80" r:id="rId1"/>
  <rowBreaks count="1" manualBreakCount="1">
    <brk id="27" max="12" man="1"/>
  </rowBreaks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SheetLayoutView="100" zoomScalePageLayoutView="0" workbookViewId="0" topLeftCell="A1">
      <selection activeCell="A6" sqref="A6:E6"/>
    </sheetView>
  </sheetViews>
  <sheetFormatPr defaultColWidth="9.00390625" defaultRowHeight="12.75"/>
  <cols>
    <col min="1" max="1" width="5.125" style="0" customWidth="1"/>
    <col min="2" max="2" width="60.625" style="0" customWidth="1"/>
    <col min="3" max="3" width="11.125" style="0" customWidth="1"/>
    <col min="4" max="4" width="14.125" style="0" hidden="1" customWidth="1"/>
    <col min="5" max="5" width="25.75390625" style="0" customWidth="1"/>
    <col min="6" max="6" width="23.00390625" style="0" hidden="1" customWidth="1"/>
    <col min="7" max="7" width="19.00390625" style="0" hidden="1" customWidth="1"/>
    <col min="8" max="8" width="11.625" style="0" hidden="1" customWidth="1"/>
    <col min="9" max="10" width="19.00390625" style="0" hidden="1" customWidth="1"/>
    <col min="11" max="15" width="0" style="0" hidden="1" customWidth="1"/>
  </cols>
  <sheetData>
    <row r="1" spans="1:10" ht="18.75">
      <c r="A1" s="3"/>
      <c r="C1" s="17"/>
      <c r="D1" s="152"/>
      <c r="E1" s="19" t="s">
        <v>257</v>
      </c>
      <c r="F1" s="153"/>
      <c r="G1" s="154"/>
      <c r="H1" s="3"/>
      <c r="I1" s="3"/>
      <c r="J1" s="3"/>
    </row>
    <row r="2" spans="1:10" ht="18.75">
      <c r="A2" s="3"/>
      <c r="C2" s="22"/>
      <c r="D2" s="153"/>
      <c r="E2" s="19" t="s">
        <v>89</v>
      </c>
      <c r="F2" s="153"/>
      <c r="G2" s="418"/>
      <c r="H2" s="3"/>
      <c r="I2" s="3"/>
      <c r="J2" s="3"/>
    </row>
    <row r="3" spans="1:10" ht="18.75">
      <c r="A3" s="3"/>
      <c r="C3" s="233"/>
      <c r="D3" s="7"/>
      <c r="E3" s="19" t="s">
        <v>91</v>
      </c>
      <c r="F3" s="16"/>
      <c r="G3" s="154"/>
      <c r="H3" s="3"/>
      <c r="I3" s="3"/>
      <c r="J3" s="3"/>
    </row>
    <row r="4" spans="1:10" ht="15.75">
      <c r="A4" s="3"/>
      <c r="B4" s="3"/>
      <c r="C4" s="233"/>
      <c r="D4" s="7"/>
      <c r="E4" s="24" t="s">
        <v>92</v>
      </c>
      <c r="F4" s="16"/>
      <c r="G4" s="154"/>
      <c r="H4" s="3"/>
      <c r="I4" s="3"/>
      <c r="J4" s="3"/>
    </row>
    <row r="5" spans="1:10" ht="15.75">
      <c r="A5" s="3"/>
      <c r="B5" s="3"/>
      <c r="C5" s="233"/>
      <c r="D5" s="7"/>
      <c r="E5" s="16" t="s">
        <v>93</v>
      </c>
      <c r="F5" s="16"/>
      <c r="G5" s="154"/>
      <c r="H5" s="3"/>
      <c r="I5" s="3"/>
      <c r="J5" s="3"/>
    </row>
    <row r="6" spans="1:10" ht="30.75" customHeight="1">
      <c r="A6" s="532" t="s">
        <v>258</v>
      </c>
      <c r="B6" s="532"/>
      <c r="C6" s="532"/>
      <c r="D6" s="532"/>
      <c r="E6" s="532"/>
      <c r="F6" s="26"/>
      <c r="G6" s="157"/>
      <c r="H6" s="157"/>
      <c r="I6" s="157"/>
      <c r="J6" s="29"/>
    </row>
    <row r="7" spans="1:10" ht="18.75">
      <c r="A7" s="643" t="s">
        <v>208</v>
      </c>
      <c r="B7" s="643"/>
      <c r="C7" s="643"/>
      <c r="D7" s="643"/>
      <c r="E7" s="643"/>
      <c r="F7" s="159"/>
      <c r="G7" s="232"/>
      <c r="H7" s="161"/>
      <c r="I7" s="161"/>
      <c r="J7" s="161"/>
    </row>
    <row r="8" spans="1:10" ht="23.25">
      <c r="A8" s="629" t="s">
        <v>259</v>
      </c>
      <c r="B8" s="629"/>
      <c r="C8" s="629"/>
      <c r="D8" s="629"/>
      <c r="E8" s="629"/>
      <c r="F8" s="392"/>
      <c r="G8" s="239"/>
      <c r="H8" s="233"/>
      <c r="I8" s="233"/>
      <c r="J8" s="233"/>
    </row>
    <row r="9" spans="1:10" ht="24" thickBot="1">
      <c r="A9" s="629" t="s">
        <v>260</v>
      </c>
      <c r="B9" s="629"/>
      <c r="C9" s="629"/>
      <c r="D9" s="629"/>
      <c r="E9" s="629"/>
      <c r="F9" s="39"/>
      <c r="G9" s="164"/>
      <c r="H9" s="535"/>
      <c r="I9" s="535"/>
      <c r="J9" s="165"/>
    </row>
    <row r="10" spans="1:10" ht="30.75" customHeight="1">
      <c r="A10" s="681" t="s">
        <v>210</v>
      </c>
      <c r="B10" s="685" t="s">
        <v>38</v>
      </c>
      <c r="C10" s="689" t="s">
        <v>211</v>
      </c>
      <c r="D10" s="693" t="s">
        <v>212</v>
      </c>
      <c r="E10" s="694"/>
      <c r="F10" s="44"/>
      <c r="G10" s="654"/>
      <c r="H10" s="654"/>
      <c r="I10" s="654"/>
      <c r="J10" s="654"/>
    </row>
    <row r="11" spans="1:10" ht="12" customHeight="1" thickBot="1">
      <c r="A11" s="682"/>
      <c r="B11" s="686"/>
      <c r="C11" s="690"/>
      <c r="D11" s="695"/>
      <c r="E11" s="696"/>
      <c r="F11" s="44"/>
      <c r="G11" s="45"/>
      <c r="H11" s="45"/>
      <c r="I11" s="45"/>
      <c r="J11" s="45"/>
    </row>
    <row r="12" spans="1:10" ht="0.75" customHeight="1" hidden="1" thickBot="1">
      <c r="A12" s="683"/>
      <c r="B12" s="687"/>
      <c r="C12" s="691"/>
      <c r="D12" s="695"/>
      <c r="E12" s="696"/>
      <c r="F12" s="47"/>
      <c r="G12" s="48"/>
      <c r="H12" s="48"/>
      <c r="I12" s="48"/>
      <c r="J12" s="48"/>
    </row>
    <row r="13" spans="1:10" ht="15.75" hidden="1" thickBot="1">
      <c r="A13" s="684"/>
      <c r="B13" s="688"/>
      <c r="C13" s="692"/>
      <c r="D13" s="697"/>
      <c r="E13" s="698"/>
      <c r="F13" s="5"/>
      <c r="G13" s="567"/>
      <c r="H13" s="567"/>
      <c r="I13" s="567"/>
      <c r="J13" s="567"/>
    </row>
    <row r="14" spans="1:10" ht="19.5" thickBot="1">
      <c r="A14" s="393">
        <v>1</v>
      </c>
      <c r="B14" s="394" t="s">
        <v>45</v>
      </c>
      <c r="C14" s="53" t="s">
        <v>261</v>
      </c>
      <c r="D14" s="87">
        <v>310000</v>
      </c>
      <c r="E14" s="58">
        <f>32.57*1.05</f>
        <v>34.1985</v>
      </c>
      <c r="F14" s="59"/>
      <c r="G14" s="60"/>
      <c r="H14" s="60"/>
      <c r="I14" s="60"/>
      <c r="J14" s="60"/>
    </row>
    <row r="15" spans="1:10" ht="19.5" thickBot="1">
      <c r="A15" s="395">
        <v>2</v>
      </c>
      <c r="B15" s="396" t="s">
        <v>60</v>
      </c>
      <c r="C15" s="89" t="s">
        <v>261</v>
      </c>
      <c r="D15" s="128">
        <v>200000</v>
      </c>
      <c r="E15" s="122">
        <f>21.01*1.05</f>
        <v>22.0605</v>
      </c>
      <c r="F15" s="66"/>
      <c r="G15" s="60"/>
      <c r="H15" s="60"/>
      <c r="I15" s="60"/>
      <c r="J15" s="60"/>
    </row>
    <row r="16" spans="1:10" ht="19.5" thickBot="1">
      <c r="A16" s="395">
        <v>3</v>
      </c>
      <c r="B16" s="396" t="s">
        <v>46</v>
      </c>
      <c r="C16" s="89" t="s">
        <v>261</v>
      </c>
      <c r="D16" s="128">
        <v>110000</v>
      </c>
      <c r="E16" s="122">
        <f>11.56*1.05</f>
        <v>12.138000000000002</v>
      </c>
      <c r="F16" s="66"/>
      <c r="G16" s="60"/>
      <c r="H16" s="60"/>
      <c r="I16" s="60"/>
      <c r="J16" s="60"/>
    </row>
    <row r="17" spans="1:10" ht="19.5" thickBot="1">
      <c r="A17" s="400">
        <v>4</v>
      </c>
      <c r="B17" s="401" t="s">
        <v>47</v>
      </c>
      <c r="C17" s="86" t="s">
        <v>261</v>
      </c>
      <c r="D17" s="73">
        <v>80000</v>
      </c>
      <c r="E17" s="74">
        <f>8.41*1.05</f>
        <v>8.8305</v>
      </c>
      <c r="F17" s="59"/>
      <c r="G17" s="60"/>
      <c r="H17" s="60"/>
      <c r="I17" s="60"/>
      <c r="J17" s="60"/>
    </row>
    <row r="18" spans="1:10" ht="19.5" thickBot="1">
      <c r="A18" s="442">
        <v>5</v>
      </c>
      <c r="B18" s="331" t="s">
        <v>262</v>
      </c>
      <c r="C18" s="75" t="s">
        <v>261</v>
      </c>
      <c r="D18" s="78">
        <v>450000</v>
      </c>
      <c r="E18" s="120">
        <f>47.28*1.05</f>
        <v>49.644000000000005</v>
      </c>
      <c r="F18" s="59"/>
      <c r="G18" s="60"/>
      <c r="H18" s="60"/>
      <c r="I18" s="60"/>
      <c r="J18" s="60"/>
    </row>
    <row r="19" spans="1:10" ht="19.5" thickBot="1">
      <c r="A19" s="393">
        <v>6</v>
      </c>
      <c r="B19" s="396" t="s">
        <v>48</v>
      </c>
      <c r="C19" s="53" t="s">
        <v>261</v>
      </c>
      <c r="D19" s="183">
        <v>360000</v>
      </c>
      <c r="E19" s="58">
        <f>37.82*1.05</f>
        <v>39.711</v>
      </c>
      <c r="F19" s="66"/>
      <c r="G19" s="60"/>
      <c r="H19" s="60"/>
      <c r="I19" s="60"/>
      <c r="J19" s="60"/>
    </row>
    <row r="20" spans="1:10" ht="19.5" thickBot="1">
      <c r="A20" s="393">
        <v>7</v>
      </c>
      <c r="B20" s="394" t="s">
        <v>49</v>
      </c>
      <c r="C20" s="53" t="s">
        <v>261</v>
      </c>
      <c r="D20" s="204">
        <v>115000</v>
      </c>
      <c r="E20" s="57">
        <f>12.08*1.05</f>
        <v>12.684000000000001</v>
      </c>
      <c r="F20" s="66"/>
      <c r="G20" s="60"/>
      <c r="H20" s="60"/>
      <c r="I20" s="60"/>
      <c r="J20" s="60"/>
    </row>
    <row r="21" spans="1:10" ht="19.5" thickBot="1">
      <c r="A21" s="395">
        <v>8</v>
      </c>
      <c r="B21" s="396" t="s">
        <v>263</v>
      </c>
      <c r="C21" s="89" t="s">
        <v>264</v>
      </c>
      <c r="D21" s="128">
        <v>7500</v>
      </c>
      <c r="E21" s="122">
        <f>0.81*1.05</f>
        <v>0.8505000000000001</v>
      </c>
      <c r="F21" s="59"/>
      <c r="G21" s="60"/>
      <c r="H21" s="60"/>
      <c r="I21" s="60"/>
      <c r="J21" s="60"/>
    </row>
    <row r="22" spans="1:10" ht="19.5" thickBot="1">
      <c r="A22" s="400">
        <v>9</v>
      </c>
      <c r="B22" s="401" t="s">
        <v>265</v>
      </c>
      <c r="C22" s="86" t="s">
        <v>264</v>
      </c>
      <c r="D22" s="73">
        <v>6000</v>
      </c>
      <c r="E22" s="74">
        <f>0.64*1.05</f>
        <v>0.672</v>
      </c>
      <c r="F22" s="59"/>
      <c r="G22" s="60"/>
      <c r="H22" s="60"/>
      <c r="I22" s="60"/>
      <c r="J22" s="60"/>
    </row>
    <row r="23" spans="1:10" ht="19.5" thickBot="1">
      <c r="A23" s="393">
        <v>10</v>
      </c>
      <c r="B23" s="394" t="s">
        <v>50</v>
      </c>
      <c r="C23" s="53" t="s">
        <v>51</v>
      </c>
      <c r="D23" s="87">
        <v>210000</v>
      </c>
      <c r="E23" s="58">
        <f>22.07*1.05</f>
        <v>23.1735</v>
      </c>
      <c r="F23" s="66"/>
      <c r="G23" s="60"/>
      <c r="H23" s="60"/>
      <c r="I23" s="60"/>
      <c r="J23" s="60"/>
    </row>
    <row r="24" spans="1:10" ht="19.5" thickBot="1">
      <c r="A24" s="395">
        <v>11</v>
      </c>
      <c r="B24" s="401" t="s">
        <v>52</v>
      </c>
      <c r="C24" s="86" t="s">
        <v>51</v>
      </c>
      <c r="D24" s="73">
        <v>105000</v>
      </c>
      <c r="E24" s="74">
        <f>11.03*1.05</f>
        <v>11.5815</v>
      </c>
      <c r="F24" s="66"/>
      <c r="G24" s="60"/>
      <c r="H24" s="60"/>
      <c r="I24" s="60"/>
      <c r="J24" s="60"/>
    </row>
    <row r="25" spans="1:10" ht="19.5" thickBot="1">
      <c r="A25" s="400">
        <v>12</v>
      </c>
      <c r="B25" s="331" t="s">
        <v>53</v>
      </c>
      <c r="C25" s="53" t="s">
        <v>51</v>
      </c>
      <c r="D25" s="87">
        <v>275000</v>
      </c>
      <c r="E25" s="58">
        <f>28.89*1.05</f>
        <v>30.334500000000002</v>
      </c>
      <c r="F25" s="59"/>
      <c r="G25" s="60"/>
      <c r="H25" s="60"/>
      <c r="I25" s="60"/>
      <c r="J25" s="60"/>
    </row>
    <row r="26" spans="1:10" ht="19.5" thickBot="1">
      <c r="A26" s="393">
        <v>13</v>
      </c>
      <c r="B26" s="401" t="s">
        <v>266</v>
      </c>
      <c r="C26" s="86" t="s">
        <v>51</v>
      </c>
      <c r="D26" s="73">
        <v>690000</v>
      </c>
      <c r="E26" s="74">
        <f>72.5*1.05</f>
        <v>76.125</v>
      </c>
      <c r="F26" s="66"/>
      <c r="G26" s="60"/>
      <c r="H26" s="60"/>
      <c r="I26" s="60"/>
      <c r="J26" s="60"/>
    </row>
    <row r="27" spans="1:10" ht="19.5" thickBot="1">
      <c r="A27" s="393">
        <v>14</v>
      </c>
      <c r="B27" s="331" t="s">
        <v>267</v>
      </c>
      <c r="C27" s="53" t="s">
        <v>71</v>
      </c>
      <c r="D27" s="181">
        <v>2640000</v>
      </c>
      <c r="E27" s="124">
        <f>285.69*1.05*1.05</f>
        <v>314.97322500000007</v>
      </c>
      <c r="F27" s="182"/>
      <c r="G27" s="60"/>
      <c r="H27" s="60"/>
      <c r="I27" s="60"/>
      <c r="J27" s="60"/>
    </row>
    <row r="28" spans="1:10" ht="19.5" thickBot="1">
      <c r="A28" s="400">
        <v>15</v>
      </c>
      <c r="B28" s="406" t="s">
        <v>268</v>
      </c>
      <c r="C28" s="86" t="s">
        <v>71</v>
      </c>
      <c r="D28" s="73">
        <v>3000000</v>
      </c>
      <c r="E28" s="178">
        <f>324.65*1.05*1.05</f>
        <v>357.926625</v>
      </c>
      <c r="F28" s="182"/>
      <c r="G28" s="60"/>
      <c r="H28" s="60"/>
      <c r="I28" s="60"/>
      <c r="J28" s="60"/>
    </row>
    <row r="29" spans="1:10" ht="19.5" thickBot="1">
      <c r="A29" s="393">
        <v>16</v>
      </c>
      <c r="B29" s="404" t="s">
        <v>269</v>
      </c>
      <c r="C29" s="53" t="s">
        <v>71</v>
      </c>
      <c r="D29" s="87">
        <v>2530000</v>
      </c>
      <c r="E29" s="124">
        <f>273.78*1.05*1.05</f>
        <v>301.84245</v>
      </c>
      <c r="F29" s="182"/>
      <c r="G29" s="60"/>
      <c r="H29" s="60"/>
      <c r="I29" s="60"/>
      <c r="J29" s="60"/>
    </row>
    <row r="30" spans="1:10" ht="19.5" thickBot="1">
      <c r="A30" s="400">
        <v>17</v>
      </c>
      <c r="B30" s="406" t="s">
        <v>270</v>
      </c>
      <c r="C30" s="86" t="s">
        <v>71</v>
      </c>
      <c r="D30" s="73">
        <v>2100000</v>
      </c>
      <c r="E30" s="178">
        <f>227.25*1.05*1.05</f>
        <v>250.54312500000003</v>
      </c>
      <c r="F30" s="182"/>
      <c r="G30" s="60"/>
      <c r="H30" s="60"/>
      <c r="I30" s="60"/>
      <c r="J30" s="60"/>
    </row>
    <row r="31" spans="1:10" ht="19.5" thickBot="1">
      <c r="A31" s="393">
        <v>18</v>
      </c>
      <c r="B31" s="404" t="s">
        <v>54</v>
      </c>
      <c r="C31" s="53" t="s">
        <v>55</v>
      </c>
      <c r="D31" s="87">
        <v>270000</v>
      </c>
      <c r="E31" s="124">
        <f>29.22*1.05</f>
        <v>30.681</v>
      </c>
      <c r="F31" s="182"/>
      <c r="G31" s="60"/>
      <c r="H31" s="60"/>
      <c r="I31" s="60"/>
      <c r="J31" s="60"/>
    </row>
    <row r="32" spans="1:10" ht="19.5" thickBot="1">
      <c r="A32" s="400">
        <v>19</v>
      </c>
      <c r="B32" s="406" t="s">
        <v>56</v>
      </c>
      <c r="C32" s="86" t="s">
        <v>57</v>
      </c>
      <c r="D32" s="73">
        <v>100000</v>
      </c>
      <c r="E32" s="178">
        <f>10.51*1.05</f>
        <v>11.0355</v>
      </c>
      <c r="F32" s="182"/>
      <c r="G32" s="60"/>
      <c r="H32" s="60"/>
      <c r="I32" s="60"/>
      <c r="J32" s="60"/>
    </row>
    <row r="33" spans="1:10" ht="19.5" thickBot="1">
      <c r="A33" s="393">
        <v>20</v>
      </c>
      <c r="B33" s="404" t="s">
        <v>58</v>
      </c>
      <c r="C33" s="53" t="s">
        <v>71</v>
      </c>
      <c r="D33" s="87">
        <v>1700000</v>
      </c>
      <c r="E33" s="124">
        <f>178.61*1.05</f>
        <v>187.5405</v>
      </c>
      <c r="F33" s="182"/>
      <c r="G33" s="60"/>
      <c r="H33" s="60"/>
      <c r="I33" s="60"/>
      <c r="J33" s="60"/>
    </row>
    <row r="34" spans="1:10" ht="19.5" thickBot="1">
      <c r="A34" s="400">
        <v>21</v>
      </c>
      <c r="B34" s="406" t="s">
        <v>271</v>
      </c>
      <c r="C34" s="86" t="s">
        <v>71</v>
      </c>
      <c r="D34" s="73"/>
      <c r="E34" s="178">
        <f>389.58*1.05*1.05</f>
        <v>429.51195000000007</v>
      </c>
      <c r="F34" s="182"/>
      <c r="G34" s="60"/>
      <c r="H34" s="60"/>
      <c r="I34" s="60"/>
      <c r="J34" s="60"/>
    </row>
    <row r="35" spans="1:10" ht="19.5" thickBot="1">
      <c r="A35" s="393">
        <v>22</v>
      </c>
      <c r="B35" s="404" t="s">
        <v>272</v>
      </c>
      <c r="C35" s="53" t="s">
        <v>71</v>
      </c>
      <c r="D35" s="87"/>
      <c r="E35" s="124">
        <f>324.65*1.05*1.05</f>
        <v>357.926625</v>
      </c>
      <c r="F35" s="182"/>
      <c r="G35" s="60"/>
      <c r="H35" s="60"/>
      <c r="I35" s="60"/>
      <c r="J35" s="60"/>
    </row>
    <row r="36" spans="1:10" ht="19.5" thickBot="1">
      <c r="A36" s="400">
        <v>23</v>
      </c>
      <c r="B36" s="406" t="s">
        <v>273</v>
      </c>
      <c r="C36" s="86" t="s">
        <v>71</v>
      </c>
      <c r="D36" s="73"/>
      <c r="E36" s="178">
        <f>259.71*1.05*1.05</f>
        <v>286.330275</v>
      </c>
      <c r="F36" s="182"/>
      <c r="G36" s="60"/>
      <c r="H36" s="60"/>
      <c r="I36" s="60"/>
      <c r="J36" s="60"/>
    </row>
    <row r="37" spans="1:10" ht="19.5" thickBot="1">
      <c r="A37" s="393">
        <v>24</v>
      </c>
      <c r="B37" s="404" t="s">
        <v>274</v>
      </c>
      <c r="C37" s="53" t="s">
        <v>71</v>
      </c>
      <c r="D37" s="87"/>
      <c r="E37" s="124">
        <f>47.28*1.05</f>
        <v>49.644000000000005</v>
      </c>
      <c r="F37" s="182"/>
      <c r="G37" s="60"/>
      <c r="H37" s="60"/>
      <c r="I37" s="60"/>
      <c r="J37" s="60"/>
    </row>
    <row r="38" spans="1:10" ht="19.5" thickBot="1">
      <c r="A38" s="395">
        <v>25</v>
      </c>
      <c r="B38" s="407" t="s">
        <v>61</v>
      </c>
      <c r="C38" s="89" t="s">
        <v>71</v>
      </c>
      <c r="D38" s="403"/>
      <c r="E38" s="250">
        <f>367.93*1.05*1.05</f>
        <v>405.642825</v>
      </c>
      <c r="F38" s="182"/>
      <c r="G38" s="60"/>
      <c r="H38" s="60"/>
      <c r="I38" s="60"/>
      <c r="J38" s="60"/>
    </row>
    <row r="39" spans="1:5" ht="19.5" thickBot="1">
      <c r="A39" s="443">
        <v>26</v>
      </c>
      <c r="B39" s="444" t="s">
        <v>72</v>
      </c>
      <c r="C39" s="445" t="s">
        <v>71</v>
      </c>
      <c r="D39" s="446"/>
      <c r="E39" s="174">
        <f>49.17*1.05</f>
        <v>51.6285</v>
      </c>
    </row>
    <row r="40" spans="1:5" ht="18">
      <c r="A40" s="312"/>
      <c r="B40" s="312"/>
      <c r="C40" s="312"/>
      <c r="D40" s="312"/>
      <c r="E40" s="312"/>
    </row>
    <row r="41" spans="1:5" ht="18">
      <c r="A41" s="312"/>
      <c r="B41" s="312"/>
      <c r="C41" s="312"/>
      <c r="D41" s="312"/>
      <c r="E41" s="312"/>
    </row>
    <row r="42" spans="1:5" ht="18.75">
      <c r="A42" s="8" t="s">
        <v>275</v>
      </c>
      <c r="C42" s="312"/>
      <c r="D42" s="312"/>
      <c r="E42" s="193" t="s">
        <v>120</v>
      </c>
    </row>
  </sheetData>
  <sheetProtection/>
  <mergeCells count="11">
    <mergeCell ref="G13:J13"/>
    <mergeCell ref="A6:E6"/>
    <mergeCell ref="A7:E7"/>
    <mergeCell ref="A8:E8"/>
    <mergeCell ref="A9:E9"/>
    <mergeCell ref="H9:I9"/>
    <mergeCell ref="A10:A13"/>
    <mergeCell ref="B10:B13"/>
    <mergeCell ref="C10:C13"/>
    <mergeCell ref="D10:E13"/>
    <mergeCell ref="G10:J1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view="pageBreakPreview" zoomScaleSheetLayoutView="100" zoomScalePageLayoutView="0" workbookViewId="0" topLeftCell="A1">
      <selection activeCell="A6" sqref="A6:E6"/>
    </sheetView>
  </sheetViews>
  <sheetFormatPr defaultColWidth="9.00390625" defaultRowHeight="12.75"/>
  <cols>
    <col min="1" max="1" width="5.125" style="0" customWidth="1"/>
    <col min="2" max="2" width="72.25390625" style="0" customWidth="1"/>
    <col min="3" max="3" width="14.875" style="0" customWidth="1"/>
    <col min="4" max="4" width="14.25390625" style="0" hidden="1" customWidth="1"/>
    <col min="5" max="5" width="24.375" style="0" customWidth="1"/>
    <col min="6" max="6" width="0" style="0" hidden="1" customWidth="1"/>
    <col min="7" max="7" width="19.00390625" style="0" hidden="1" customWidth="1"/>
    <col min="8" max="8" width="10.125" style="0" hidden="1" customWidth="1"/>
    <col min="9" max="10" width="19.00390625" style="0" hidden="1" customWidth="1"/>
  </cols>
  <sheetData>
    <row r="1" spans="1:10" ht="18.75">
      <c r="A1" s="3"/>
      <c r="D1" s="152"/>
      <c r="E1" s="19" t="str">
        <f>'[1]хв'!$G$1</f>
        <v>УТВЕРЖДАЮ</v>
      </c>
      <c r="F1" s="153"/>
      <c r="G1" s="154"/>
      <c r="H1" s="3"/>
      <c r="I1" s="3"/>
      <c r="J1" s="3"/>
    </row>
    <row r="2" spans="1:10" ht="18.75">
      <c r="A2" s="3"/>
      <c r="D2" s="153"/>
      <c r="E2" s="19" t="str">
        <f>'[1]хв'!$G$2</f>
        <v>Директор ГЛХУ "Лельчицкий лесхоз"</v>
      </c>
      <c r="F2" s="153"/>
      <c r="G2" s="232"/>
      <c r="H2" s="233"/>
      <c r="I2" s="233"/>
      <c r="J2" s="233"/>
    </row>
    <row r="3" spans="1:10" ht="18.75">
      <c r="A3" s="3"/>
      <c r="B3" s="3"/>
      <c r="D3" s="23"/>
      <c r="E3" s="19" t="s">
        <v>138</v>
      </c>
      <c r="F3" s="16"/>
      <c r="G3" s="235"/>
      <c r="H3" s="233"/>
      <c r="I3" s="233"/>
      <c r="J3" s="233"/>
    </row>
    <row r="4" spans="1:10" ht="15.75">
      <c r="A4" s="3"/>
      <c r="B4" s="3"/>
      <c r="C4" s="391"/>
      <c r="D4" s="7"/>
      <c r="E4" s="24" t="s">
        <v>206</v>
      </c>
      <c r="F4" s="16"/>
      <c r="G4" s="235"/>
      <c r="H4" s="233"/>
      <c r="I4" s="233"/>
      <c r="J4" s="233"/>
    </row>
    <row r="5" spans="1:10" ht="15.75">
      <c r="A5" s="3"/>
      <c r="B5" s="3"/>
      <c r="C5" s="233"/>
      <c r="D5" s="7"/>
      <c r="E5" s="16" t="s">
        <v>93</v>
      </c>
      <c r="F5" s="16"/>
      <c r="G5" s="235"/>
      <c r="H5" s="233"/>
      <c r="I5" s="233"/>
      <c r="J5" s="233"/>
    </row>
    <row r="6" spans="1:10" ht="30.75" customHeight="1">
      <c r="A6" s="532" t="s">
        <v>207</v>
      </c>
      <c r="B6" s="532"/>
      <c r="C6" s="532"/>
      <c r="D6" s="532"/>
      <c r="E6" s="532"/>
      <c r="F6" s="26"/>
      <c r="G6" s="157"/>
      <c r="H6" s="157"/>
      <c r="I6" s="157"/>
      <c r="J6" s="161"/>
    </row>
    <row r="7" spans="1:10" ht="18.75">
      <c r="A7" s="643" t="s">
        <v>208</v>
      </c>
      <c r="B7" s="643"/>
      <c r="C7" s="643"/>
      <c r="D7" s="643"/>
      <c r="E7" s="643"/>
      <c r="F7" s="159"/>
      <c r="G7" s="232"/>
      <c r="H7" s="161"/>
      <c r="I7" s="161"/>
      <c r="J7" s="161"/>
    </row>
    <row r="8" spans="1:10" ht="24" thickBot="1">
      <c r="A8" s="629" t="s">
        <v>209</v>
      </c>
      <c r="B8" s="629"/>
      <c r="C8" s="629"/>
      <c r="D8" s="629"/>
      <c r="E8" s="629"/>
      <c r="F8" s="392"/>
      <c r="G8" s="239"/>
      <c r="H8" s="233"/>
      <c r="I8" s="233"/>
      <c r="J8" s="233"/>
    </row>
    <row r="9" spans="1:10" ht="30.75" customHeight="1">
      <c r="A9" s="645" t="s">
        <v>210</v>
      </c>
      <c r="B9" s="704" t="s">
        <v>75</v>
      </c>
      <c r="C9" s="645" t="s">
        <v>211</v>
      </c>
      <c r="D9" s="693" t="s">
        <v>212</v>
      </c>
      <c r="E9" s="708"/>
      <c r="F9" s="44"/>
      <c r="G9" s="654"/>
      <c r="H9" s="654"/>
      <c r="I9" s="654"/>
      <c r="J9" s="654"/>
    </row>
    <row r="10" spans="1:10" ht="15" customHeight="1" thickBot="1">
      <c r="A10" s="646"/>
      <c r="B10" s="705"/>
      <c r="C10" s="646"/>
      <c r="D10" s="709"/>
      <c r="E10" s="710"/>
      <c r="F10" s="44"/>
      <c r="G10" s="45"/>
      <c r="H10" s="45"/>
      <c r="I10" s="45"/>
      <c r="J10" s="45"/>
    </row>
    <row r="11" spans="1:10" ht="21" hidden="1" thickBot="1">
      <c r="A11" s="647"/>
      <c r="B11" s="706"/>
      <c r="C11" s="647"/>
      <c r="D11" s="702"/>
      <c r="E11" s="703"/>
      <c r="F11" s="47"/>
      <c r="G11" s="48"/>
      <c r="H11" s="48"/>
      <c r="I11" s="48"/>
      <c r="J11" s="48"/>
    </row>
    <row r="12" spans="1:10" ht="19.5" hidden="1" thickBot="1">
      <c r="A12" s="674"/>
      <c r="B12" s="707"/>
      <c r="C12" s="674"/>
      <c r="D12" s="602"/>
      <c r="E12" s="603"/>
      <c r="F12" s="5"/>
      <c r="G12" s="567"/>
      <c r="H12" s="567"/>
      <c r="I12" s="567"/>
      <c r="J12" s="567"/>
    </row>
    <row r="13" spans="1:10" ht="19.5" thickBot="1">
      <c r="A13" s="393">
        <v>1</v>
      </c>
      <c r="B13" s="394" t="s">
        <v>213</v>
      </c>
      <c r="C13" s="53" t="s">
        <v>214</v>
      </c>
      <c r="D13" s="87">
        <v>220000</v>
      </c>
      <c r="E13" s="124">
        <f>25.42*1.03*1.1</f>
        <v>28.800860000000004</v>
      </c>
      <c r="F13" s="59"/>
      <c r="G13" s="60"/>
      <c r="H13" s="60"/>
      <c r="I13" s="60"/>
      <c r="J13" s="60"/>
    </row>
    <row r="14" spans="1:10" ht="19.5" thickBot="1">
      <c r="A14" s="395">
        <v>2</v>
      </c>
      <c r="B14" s="396" t="s">
        <v>215</v>
      </c>
      <c r="C14" s="89" t="s">
        <v>214</v>
      </c>
      <c r="D14" s="128">
        <v>135000</v>
      </c>
      <c r="E14" s="250">
        <f>15.61*1.03*1.1</f>
        <v>17.68613</v>
      </c>
      <c r="F14" s="66"/>
      <c r="G14" s="60"/>
      <c r="H14" s="60"/>
      <c r="I14" s="60"/>
      <c r="J14" s="60"/>
    </row>
    <row r="15" spans="1:10" ht="19.5" thickBot="1">
      <c r="A15" s="395">
        <v>3</v>
      </c>
      <c r="B15" s="396" t="s">
        <v>216</v>
      </c>
      <c r="C15" s="89" t="s">
        <v>214</v>
      </c>
      <c r="D15" s="128">
        <v>255000</v>
      </c>
      <c r="E15" s="250">
        <f>29.47*1.03*1.1</f>
        <v>33.38951</v>
      </c>
      <c r="F15" s="66"/>
      <c r="G15" s="60"/>
      <c r="H15" s="60"/>
      <c r="I15" s="60"/>
      <c r="J15" s="60"/>
    </row>
    <row r="16" spans="1:10" ht="19.5" thickBot="1">
      <c r="A16" s="395">
        <v>4</v>
      </c>
      <c r="B16" s="396" t="s">
        <v>217</v>
      </c>
      <c r="C16" s="89" t="s">
        <v>214</v>
      </c>
      <c r="D16" s="128">
        <v>160000</v>
      </c>
      <c r="E16" s="122">
        <f>16.81*1.03</f>
        <v>17.3143</v>
      </c>
      <c r="F16" s="59"/>
      <c r="G16" s="60"/>
      <c r="H16" s="60"/>
      <c r="I16" s="60"/>
      <c r="J16" s="60"/>
    </row>
    <row r="17" spans="1:10" ht="19.5" thickBot="1">
      <c r="A17" s="397"/>
      <c r="B17" s="699" t="s">
        <v>218</v>
      </c>
      <c r="C17" s="700"/>
      <c r="D17" s="700"/>
      <c r="E17" s="701"/>
      <c r="F17" s="59"/>
      <c r="G17" s="60"/>
      <c r="H17" s="60"/>
      <c r="I17" s="60"/>
      <c r="J17" s="60"/>
    </row>
    <row r="18" spans="1:10" ht="19.5" thickBot="1">
      <c r="A18" s="398">
        <v>5.1</v>
      </c>
      <c r="B18" s="331" t="s">
        <v>219</v>
      </c>
      <c r="C18" s="53" t="s">
        <v>220</v>
      </c>
      <c r="D18" s="87">
        <v>9000</v>
      </c>
      <c r="E18" s="124">
        <v>1.21</v>
      </c>
      <c r="F18" s="66"/>
      <c r="G18" s="60"/>
      <c r="H18" s="60"/>
      <c r="I18" s="60"/>
      <c r="J18" s="60"/>
    </row>
    <row r="19" spans="1:10" ht="19.5" thickBot="1">
      <c r="A19" s="399">
        <v>6</v>
      </c>
      <c r="B19" s="331" t="s">
        <v>221</v>
      </c>
      <c r="C19" s="53" t="s">
        <v>220</v>
      </c>
      <c r="D19" s="87">
        <v>4700</v>
      </c>
      <c r="E19" s="58">
        <f>0.49*1.03</f>
        <v>0.5047</v>
      </c>
      <c r="F19" s="66"/>
      <c r="G19" s="60"/>
      <c r="H19" s="60"/>
      <c r="I19" s="60"/>
      <c r="J19" s="60"/>
    </row>
    <row r="20" spans="1:10" ht="19.5" thickBot="1">
      <c r="A20" s="393">
        <v>7</v>
      </c>
      <c r="B20" s="394" t="s">
        <v>222</v>
      </c>
      <c r="C20" s="53" t="s">
        <v>220</v>
      </c>
      <c r="D20" s="87">
        <v>5300</v>
      </c>
      <c r="E20" s="58">
        <f>0.55*1.03</f>
        <v>0.5665000000000001</v>
      </c>
      <c r="F20" s="59"/>
      <c r="G20" s="60"/>
      <c r="H20" s="60"/>
      <c r="I20" s="60"/>
      <c r="J20" s="60"/>
    </row>
    <row r="21" spans="1:10" ht="19.5" thickBot="1">
      <c r="A21" s="400">
        <v>8</v>
      </c>
      <c r="B21" s="401" t="s">
        <v>73</v>
      </c>
      <c r="C21" s="86" t="s">
        <v>220</v>
      </c>
      <c r="D21" s="73">
        <v>4900</v>
      </c>
      <c r="E21" s="74">
        <f>0.51*1.03</f>
        <v>0.5253</v>
      </c>
      <c r="F21" s="59"/>
      <c r="G21" s="60"/>
      <c r="H21" s="60"/>
      <c r="I21" s="60"/>
      <c r="J21" s="60"/>
    </row>
    <row r="22" spans="1:10" ht="19.5" thickBot="1">
      <c r="A22" s="393"/>
      <c r="B22" s="699" t="s">
        <v>223</v>
      </c>
      <c r="C22" s="700"/>
      <c r="D22" s="700"/>
      <c r="E22" s="701"/>
      <c r="F22" s="66"/>
      <c r="G22" s="60"/>
      <c r="H22" s="60"/>
      <c r="I22" s="60"/>
      <c r="J22" s="60"/>
    </row>
    <row r="23" spans="1:10" ht="19.5" thickBot="1">
      <c r="A23" s="395">
        <v>9</v>
      </c>
      <c r="B23" s="396" t="s">
        <v>219</v>
      </c>
      <c r="C23" s="89" t="s">
        <v>224</v>
      </c>
      <c r="D23" s="128">
        <v>310000</v>
      </c>
      <c r="E23" s="250">
        <v>44.66</v>
      </c>
      <c r="F23" s="66"/>
      <c r="G23" s="60"/>
      <c r="H23" s="60"/>
      <c r="I23" s="60"/>
      <c r="J23" s="60"/>
    </row>
    <row r="24" spans="1:10" ht="19.5" thickBot="1">
      <c r="A24" s="400">
        <v>10</v>
      </c>
      <c r="B24" s="401" t="s">
        <v>221</v>
      </c>
      <c r="C24" s="86" t="s">
        <v>224</v>
      </c>
      <c r="D24" s="73">
        <v>170000</v>
      </c>
      <c r="E24" s="74">
        <f>19.66*1.03</f>
        <v>20.2498</v>
      </c>
      <c r="F24" s="59"/>
      <c r="G24" s="60"/>
      <c r="H24" s="60"/>
      <c r="I24" s="60"/>
      <c r="J24" s="60"/>
    </row>
    <row r="25" spans="1:10" ht="19.5" thickBot="1">
      <c r="A25" s="393">
        <v>11</v>
      </c>
      <c r="B25" s="394" t="s">
        <v>222</v>
      </c>
      <c r="C25" s="53" t="s">
        <v>224</v>
      </c>
      <c r="D25" s="87">
        <v>195000</v>
      </c>
      <c r="E25" s="58">
        <f>20.49*1.03</f>
        <v>21.104699999999998</v>
      </c>
      <c r="F25" s="66"/>
      <c r="G25" s="60"/>
      <c r="H25" s="60"/>
      <c r="I25" s="60"/>
      <c r="J25" s="60"/>
    </row>
    <row r="26" spans="1:10" ht="19.5" thickBot="1">
      <c r="A26" s="400">
        <v>12</v>
      </c>
      <c r="B26" s="402" t="s">
        <v>73</v>
      </c>
      <c r="C26" s="89" t="s">
        <v>224</v>
      </c>
      <c r="D26" s="403">
        <v>185000</v>
      </c>
      <c r="E26" s="122">
        <f>19.43*1.03</f>
        <v>20.012900000000002</v>
      </c>
      <c r="F26" s="182"/>
      <c r="G26" s="60"/>
      <c r="H26" s="60"/>
      <c r="I26" s="60"/>
      <c r="J26" s="60"/>
    </row>
    <row r="27" spans="1:10" ht="19.5" thickBot="1">
      <c r="A27" s="393"/>
      <c r="B27" s="699" t="s">
        <v>225</v>
      </c>
      <c r="C27" s="700"/>
      <c r="D27" s="700"/>
      <c r="E27" s="701"/>
      <c r="F27" s="182"/>
      <c r="G27" s="60"/>
      <c r="H27" s="60"/>
      <c r="I27" s="60"/>
      <c r="J27" s="60"/>
    </row>
    <row r="28" spans="1:10" ht="19.5" thickBot="1">
      <c r="A28" s="400">
        <v>13</v>
      </c>
      <c r="B28" s="401" t="s">
        <v>219</v>
      </c>
      <c r="C28" s="86" t="s">
        <v>76</v>
      </c>
      <c r="D28" s="73">
        <v>1200</v>
      </c>
      <c r="E28" s="178">
        <v>0.16</v>
      </c>
      <c r="F28" s="182"/>
      <c r="G28" s="60"/>
      <c r="H28" s="60"/>
      <c r="I28" s="60"/>
      <c r="J28" s="60"/>
    </row>
    <row r="29" spans="1:10" ht="19.5" thickBot="1">
      <c r="A29" s="393">
        <v>14</v>
      </c>
      <c r="B29" s="404" t="s">
        <v>226</v>
      </c>
      <c r="C29" s="53" t="s">
        <v>227</v>
      </c>
      <c r="D29" s="87">
        <v>150000</v>
      </c>
      <c r="E29" s="124">
        <f>15.76*1.03*1.1</f>
        <v>17.856080000000002</v>
      </c>
      <c r="F29" s="182"/>
      <c r="G29" s="60"/>
      <c r="H29" s="60"/>
      <c r="I29" s="60"/>
      <c r="J29" s="60"/>
    </row>
    <row r="30" spans="1:10" ht="19.5" thickBot="1">
      <c r="A30" s="395">
        <v>15</v>
      </c>
      <c r="B30" s="405" t="s">
        <v>228</v>
      </c>
      <c r="C30" s="89" t="s">
        <v>227</v>
      </c>
      <c r="D30" s="128">
        <v>210000</v>
      </c>
      <c r="E30" s="250">
        <f>22.07*1.03*1.1</f>
        <v>25.005310000000005</v>
      </c>
      <c r="F30" s="182"/>
      <c r="G30" s="60"/>
      <c r="H30" s="60"/>
      <c r="I30" s="60"/>
      <c r="J30" s="60"/>
    </row>
    <row r="31" spans="1:10" ht="19.5" thickBot="1">
      <c r="A31" s="400">
        <v>16</v>
      </c>
      <c r="B31" s="406" t="s">
        <v>229</v>
      </c>
      <c r="C31" s="86" t="s">
        <v>230</v>
      </c>
      <c r="D31" s="73">
        <v>375000</v>
      </c>
      <c r="E31" s="178">
        <f>39.4*1.03*1.1</f>
        <v>44.64020000000001</v>
      </c>
      <c r="F31" s="182"/>
      <c r="G31" s="60"/>
      <c r="H31" s="60"/>
      <c r="I31" s="60"/>
      <c r="J31" s="60"/>
    </row>
    <row r="32" spans="1:10" ht="19.5" thickBot="1">
      <c r="A32" s="393">
        <v>17</v>
      </c>
      <c r="B32" s="404" t="s">
        <v>231</v>
      </c>
      <c r="C32" s="53" t="s">
        <v>230</v>
      </c>
      <c r="D32" s="87">
        <v>390000</v>
      </c>
      <c r="E32" s="124">
        <f>40.98*1.03</f>
        <v>42.209399999999995</v>
      </c>
      <c r="F32" s="182"/>
      <c r="G32" s="60"/>
      <c r="H32" s="60"/>
      <c r="I32" s="60"/>
      <c r="J32" s="60"/>
    </row>
    <row r="33" spans="1:10" ht="19.5" thickBot="1">
      <c r="A33" s="395">
        <v>18</v>
      </c>
      <c r="B33" s="405" t="s">
        <v>232</v>
      </c>
      <c r="C33" s="89" t="s">
        <v>227</v>
      </c>
      <c r="D33" s="128">
        <v>15000</v>
      </c>
      <c r="E33" s="250">
        <v>2.36</v>
      </c>
      <c r="F33" s="182"/>
      <c r="G33" s="60"/>
      <c r="H33" s="60"/>
      <c r="I33" s="60"/>
      <c r="J33" s="60"/>
    </row>
    <row r="34" spans="1:10" ht="19.5" thickBot="1">
      <c r="A34" s="395">
        <v>19</v>
      </c>
      <c r="B34" s="405" t="s">
        <v>233</v>
      </c>
      <c r="C34" s="89" t="s">
        <v>214</v>
      </c>
      <c r="D34" s="128">
        <v>20000</v>
      </c>
      <c r="E34" s="250">
        <f>2.1*1.03</f>
        <v>2.1630000000000003</v>
      </c>
      <c r="F34" s="182"/>
      <c r="G34" s="60"/>
      <c r="H34" s="60"/>
      <c r="I34" s="60"/>
      <c r="J34" s="60"/>
    </row>
    <row r="35" spans="1:10" ht="19.5" thickBot="1">
      <c r="A35" s="395">
        <v>20</v>
      </c>
      <c r="B35" s="405" t="s">
        <v>234</v>
      </c>
      <c r="C35" s="89" t="s">
        <v>214</v>
      </c>
      <c r="D35" s="128">
        <v>35000</v>
      </c>
      <c r="E35" s="250">
        <f>4.05*1.03</f>
        <v>4.1715</v>
      </c>
      <c r="F35" s="182"/>
      <c r="G35" s="60"/>
      <c r="H35" s="60"/>
      <c r="I35" s="60"/>
      <c r="J35" s="60"/>
    </row>
    <row r="36" spans="1:10" ht="19.5" thickBot="1">
      <c r="A36" s="395">
        <v>21</v>
      </c>
      <c r="B36" s="407" t="s">
        <v>235</v>
      </c>
      <c r="C36" s="89" t="s">
        <v>214</v>
      </c>
      <c r="D36" s="128">
        <v>20000</v>
      </c>
      <c r="E36" s="250">
        <f>2.31*1.03</f>
        <v>2.3793</v>
      </c>
      <c r="F36" s="182"/>
      <c r="G36" s="60"/>
      <c r="H36" s="60"/>
      <c r="I36" s="60"/>
      <c r="J36" s="60"/>
    </row>
    <row r="37" spans="1:10" ht="19.5" thickBot="1">
      <c r="A37" s="395">
        <v>22</v>
      </c>
      <c r="B37" s="407" t="s">
        <v>74</v>
      </c>
      <c r="C37" s="89" t="s">
        <v>76</v>
      </c>
      <c r="D37" s="403">
        <v>110000</v>
      </c>
      <c r="E37" s="250">
        <f>11.56*1.03</f>
        <v>11.9068</v>
      </c>
      <c r="F37" s="182"/>
      <c r="G37" s="60"/>
      <c r="H37" s="60"/>
      <c r="I37" s="60"/>
      <c r="J37" s="60"/>
    </row>
    <row r="38" spans="1:10" ht="19.5" thickBot="1">
      <c r="A38" s="408">
        <v>23</v>
      </c>
      <c r="B38" s="407" t="s">
        <v>236</v>
      </c>
      <c r="C38" s="89" t="s">
        <v>214</v>
      </c>
      <c r="D38" s="403">
        <v>25000</v>
      </c>
      <c r="E38" s="250">
        <f>2.62*1.03*1.1</f>
        <v>2.9684600000000008</v>
      </c>
      <c r="G38" s="297"/>
      <c r="H38" s="60"/>
      <c r="I38" s="297"/>
      <c r="J38" s="297"/>
    </row>
    <row r="39" spans="1:10" ht="19.5" thickBot="1">
      <c r="A39" s="409">
        <v>24</v>
      </c>
      <c r="B39" s="410" t="s">
        <v>237</v>
      </c>
      <c r="C39" s="89" t="s">
        <v>214</v>
      </c>
      <c r="D39" s="403">
        <v>20000</v>
      </c>
      <c r="E39" s="250">
        <v>3.14</v>
      </c>
      <c r="G39" s="297"/>
      <c r="H39" s="60"/>
      <c r="I39" s="297"/>
      <c r="J39" s="297"/>
    </row>
    <row r="40" spans="1:10" ht="19.5" thickBot="1">
      <c r="A40" s="411">
        <v>25</v>
      </c>
      <c r="B40" s="410" t="s">
        <v>238</v>
      </c>
      <c r="C40" s="412" t="s">
        <v>227</v>
      </c>
      <c r="D40" s="403">
        <v>50000</v>
      </c>
      <c r="E40" s="250">
        <f>5.26*1.03*1.1</f>
        <v>5.95958</v>
      </c>
      <c r="G40" s="297"/>
      <c r="H40" s="60"/>
      <c r="I40" s="297"/>
      <c r="J40" s="297"/>
    </row>
    <row r="41" spans="1:10" ht="19.5" thickBot="1">
      <c r="A41" s="411">
        <v>26</v>
      </c>
      <c r="B41" s="410" t="s">
        <v>239</v>
      </c>
      <c r="C41" s="89" t="s">
        <v>214</v>
      </c>
      <c r="D41" s="403">
        <v>25000</v>
      </c>
      <c r="E41" s="250">
        <f>2.62*1.03</f>
        <v>2.6986000000000003</v>
      </c>
      <c r="G41" s="297"/>
      <c r="H41" s="60"/>
      <c r="I41" s="297"/>
      <c r="J41" s="297"/>
    </row>
    <row r="42" spans="1:10" ht="19.5" thickBot="1">
      <c r="A42" s="411">
        <v>27</v>
      </c>
      <c r="B42" s="413" t="s">
        <v>240</v>
      </c>
      <c r="C42" s="86" t="s">
        <v>214</v>
      </c>
      <c r="D42" s="248">
        <v>25000</v>
      </c>
      <c r="E42" s="178">
        <v>2.7</v>
      </c>
      <c r="G42" s="297"/>
      <c r="H42" s="60"/>
      <c r="I42" s="297"/>
      <c r="J42" s="297"/>
    </row>
    <row r="43" spans="1:10" ht="19.5" thickBot="1">
      <c r="A43" s="411">
        <v>28</v>
      </c>
      <c r="B43" s="414" t="s">
        <v>241</v>
      </c>
      <c r="C43" s="53" t="s">
        <v>214</v>
      </c>
      <c r="D43" s="415">
        <v>20000</v>
      </c>
      <c r="E43" s="124">
        <v>2.74</v>
      </c>
      <c r="G43" s="297"/>
      <c r="H43" s="60"/>
      <c r="I43" s="297"/>
      <c r="J43" s="297"/>
    </row>
    <row r="44" spans="1:10" ht="19.5" thickBot="1">
      <c r="A44" s="411">
        <v>29</v>
      </c>
      <c r="B44" s="407" t="s">
        <v>242</v>
      </c>
      <c r="C44" s="89" t="s">
        <v>214</v>
      </c>
      <c r="D44" s="416">
        <v>20000</v>
      </c>
      <c r="E44" s="250">
        <v>2.74</v>
      </c>
      <c r="G44" s="297"/>
      <c r="H44" s="60"/>
      <c r="I44" s="297"/>
      <c r="J44" s="297"/>
    </row>
    <row r="45" spans="7:10" ht="12.75">
      <c r="G45" s="297"/>
      <c r="H45" s="297"/>
      <c r="I45" s="297"/>
      <c r="J45" s="297"/>
    </row>
    <row r="46" spans="1:10" ht="18.75">
      <c r="A46" s="8" t="s">
        <v>119</v>
      </c>
      <c r="E46" s="417" t="s">
        <v>120</v>
      </c>
      <c r="G46" s="297"/>
      <c r="H46" s="297"/>
      <c r="I46" s="297"/>
      <c r="J46" s="297"/>
    </row>
    <row r="47" spans="7:10" ht="12.75">
      <c r="G47" s="297"/>
      <c r="H47" s="297"/>
      <c r="I47" s="297"/>
      <c r="J47" s="297"/>
    </row>
    <row r="48" spans="7:10" ht="12.75">
      <c r="G48" s="297"/>
      <c r="H48" s="297"/>
      <c r="I48" s="297"/>
      <c r="J48" s="297"/>
    </row>
  </sheetData>
  <sheetProtection/>
  <mergeCells count="14">
    <mergeCell ref="A6:E6"/>
    <mergeCell ref="A7:E7"/>
    <mergeCell ref="A8:E8"/>
    <mergeCell ref="A9:A12"/>
    <mergeCell ref="B9:B12"/>
    <mergeCell ref="C9:C12"/>
    <mergeCell ref="D9:E10"/>
    <mergeCell ref="B27:E27"/>
    <mergeCell ref="G9:J9"/>
    <mergeCell ref="D11:E11"/>
    <mergeCell ref="D12:E12"/>
    <mergeCell ref="G12:J12"/>
    <mergeCell ref="B17:E17"/>
    <mergeCell ref="B22:E22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zoomScalePageLayoutView="0" workbookViewId="0" topLeftCell="A1">
      <selection activeCell="A7" sqref="A7:E7"/>
    </sheetView>
  </sheetViews>
  <sheetFormatPr defaultColWidth="9.00390625" defaultRowHeight="12.75"/>
  <cols>
    <col min="1" max="1" width="9.25390625" style="0" bestFit="1" customWidth="1"/>
    <col min="2" max="2" width="64.375" style="0" customWidth="1"/>
    <col min="3" max="3" width="12.125" style="0" customWidth="1"/>
    <col min="4" max="4" width="19.00390625" style="0" hidden="1" customWidth="1"/>
    <col min="5" max="5" width="30.625" style="0" customWidth="1"/>
    <col min="6" max="6" width="19.25390625" style="0" hidden="1" customWidth="1"/>
    <col min="7" max="7" width="19.00390625" style="0" hidden="1" customWidth="1"/>
    <col min="8" max="8" width="10.125" style="0" hidden="1" customWidth="1"/>
    <col min="9" max="10" width="19.00390625" style="0" hidden="1" customWidth="1"/>
  </cols>
  <sheetData>
    <row r="1" spans="1:10" ht="18.75">
      <c r="A1" s="3"/>
      <c r="B1" s="3"/>
      <c r="D1" s="152"/>
      <c r="E1" s="19" t="str">
        <f>'[1]хв'!$G$1</f>
        <v>УТВЕРЖДАЮ</v>
      </c>
      <c r="F1" s="153"/>
      <c r="G1" s="154"/>
      <c r="H1" s="3"/>
      <c r="I1" s="3"/>
      <c r="J1" s="3"/>
    </row>
    <row r="2" spans="1:10" ht="18.75">
      <c r="A2" s="3"/>
      <c r="B2" s="3"/>
      <c r="D2" s="153"/>
      <c r="E2" s="19" t="str">
        <f>'[1]хв'!$G$2</f>
        <v>Директор ГЛХУ "Лельчицкий лесхоз"</v>
      </c>
      <c r="F2" s="153"/>
      <c r="G2" s="418"/>
      <c r="H2" s="3"/>
      <c r="I2" s="3"/>
      <c r="J2" s="3"/>
    </row>
    <row r="3" spans="1:10" ht="18.75">
      <c r="A3" s="3"/>
      <c r="B3" s="3"/>
      <c r="C3" s="197"/>
      <c r="D3" s="155"/>
      <c r="E3" s="19" t="s">
        <v>243</v>
      </c>
      <c r="F3" s="22" t="s">
        <v>90</v>
      </c>
      <c r="G3" s="418"/>
      <c r="H3" s="3"/>
      <c r="I3" s="3"/>
      <c r="J3" s="3"/>
    </row>
    <row r="4" spans="1:10" ht="18.75">
      <c r="A4" s="3"/>
      <c r="B4" s="3"/>
      <c r="C4" s="22"/>
      <c r="D4" s="153"/>
      <c r="E4" s="16" t="s">
        <v>92</v>
      </c>
      <c r="F4" s="153"/>
      <c r="G4" s="418"/>
      <c r="H4" s="3"/>
      <c r="I4" s="3"/>
      <c r="J4" s="3"/>
    </row>
    <row r="5" spans="1:10" ht="18.75">
      <c r="A5" s="3"/>
      <c r="B5" s="3"/>
      <c r="C5" s="22"/>
      <c r="D5" s="153"/>
      <c r="E5" s="16" t="s">
        <v>93</v>
      </c>
      <c r="F5" s="153"/>
      <c r="G5" s="418"/>
      <c r="H5" s="3"/>
      <c r="I5" s="3"/>
      <c r="J5" s="3"/>
    </row>
    <row r="6" spans="1:10" ht="15" customHeight="1">
      <c r="A6" s="3"/>
      <c r="B6" s="3"/>
      <c r="C6" s="3"/>
      <c r="D6" s="16"/>
      <c r="E6" s="16"/>
      <c r="F6" s="16"/>
      <c r="G6" s="154"/>
      <c r="H6" s="3"/>
      <c r="I6" s="3"/>
      <c r="J6" s="3"/>
    </row>
    <row r="7" spans="1:10" ht="29.25" customHeight="1">
      <c r="A7" s="532" t="s">
        <v>244</v>
      </c>
      <c r="B7" s="532"/>
      <c r="C7" s="532"/>
      <c r="D7" s="532"/>
      <c r="E7" s="532"/>
      <c r="F7" s="26"/>
      <c r="G7" s="157"/>
      <c r="H7" s="157"/>
      <c r="I7" s="157"/>
      <c r="J7" s="29"/>
    </row>
    <row r="8" spans="1:10" ht="18.75">
      <c r="A8" s="643" t="s">
        <v>208</v>
      </c>
      <c r="B8" s="643"/>
      <c r="C8" s="643"/>
      <c r="D8" s="643"/>
      <c r="E8" s="643"/>
      <c r="F8" s="159"/>
      <c r="G8" s="232"/>
      <c r="H8" s="161"/>
      <c r="I8" s="161"/>
      <c r="J8" s="29"/>
    </row>
    <row r="9" spans="1:10" ht="20.25" thickBot="1">
      <c r="A9" s="573" t="s">
        <v>245</v>
      </c>
      <c r="B9" s="573"/>
      <c r="C9" s="573"/>
      <c r="D9" s="573"/>
      <c r="E9" s="573"/>
      <c r="F9" s="392"/>
      <c r="G9" s="37"/>
      <c r="H9" s="3"/>
      <c r="I9" s="3"/>
      <c r="J9" s="3"/>
    </row>
    <row r="10" spans="1:10" ht="15">
      <c r="A10" s="685" t="s">
        <v>210</v>
      </c>
      <c r="B10" s="716" t="s">
        <v>75</v>
      </c>
      <c r="C10" s="685" t="s">
        <v>211</v>
      </c>
      <c r="D10" s="693" t="s">
        <v>212</v>
      </c>
      <c r="E10" s="708"/>
      <c r="F10" s="44"/>
      <c r="G10" s="654"/>
      <c r="H10" s="654"/>
      <c r="I10" s="654"/>
      <c r="J10" s="654"/>
    </row>
    <row r="11" spans="1:10" ht="21.75" customHeight="1" thickBot="1">
      <c r="A11" s="686"/>
      <c r="B11" s="717"/>
      <c r="C11" s="686"/>
      <c r="D11" s="709"/>
      <c r="E11" s="710"/>
      <c r="F11" s="44"/>
      <c r="G11" s="45"/>
      <c r="H11" s="45"/>
      <c r="I11" s="45"/>
      <c r="J11" s="45"/>
    </row>
    <row r="12" spans="1:10" ht="36" customHeight="1" hidden="1" thickBot="1">
      <c r="A12" s="687"/>
      <c r="B12" s="718"/>
      <c r="C12" s="687"/>
      <c r="D12" s="711"/>
      <c r="E12" s="712"/>
      <c r="F12" s="47"/>
      <c r="G12" s="48"/>
      <c r="H12" s="48"/>
      <c r="I12" s="48"/>
      <c r="J12" s="48"/>
    </row>
    <row r="13" spans="1:10" ht="19.5" hidden="1" thickBot="1">
      <c r="A13" s="715"/>
      <c r="B13" s="719"/>
      <c r="C13" s="715"/>
      <c r="D13" s="602"/>
      <c r="E13" s="603"/>
      <c r="F13" s="5"/>
      <c r="G13" s="567"/>
      <c r="H13" s="567"/>
      <c r="I13" s="567"/>
      <c r="J13" s="567"/>
    </row>
    <row r="14" spans="1:10" ht="22.5" customHeight="1" thickBot="1">
      <c r="A14" s="296">
        <v>1</v>
      </c>
      <c r="B14" s="404" t="s">
        <v>246</v>
      </c>
      <c r="C14" s="53" t="s">
        <v>76</v>
      </c>
      <c r="D14" s="227">
        <v>160000</v>
      </c>
      <c r="E14" s="419">
        <f>16.81*1.03*1.05</f>
        <v>18.180015</v>
      </c>
      <c r="F14" s="59"/>
      <c r="G14" s="60"/>
      <c r="H14" s="60"/>
      <c r="I14" s="60"/>
      <c r="J14" s="60"/>
    </row>
    <row r="15" spans="1:10" ht="33" customHeight="1" thickBot="1">
      <c r="A15" s="296">
        <v>3</v>
      </c>
      <c r="B15" s="420" t="s">
        <v>247</v>
      </c>
      <c r="C15" s="53" t="s">
        <v>76</v>
      </c>
      <c r="D15" s="227">
        <v>20000</v>
      </c>
      <c r="E15" s="419">
        <v>2.16</v>
      </c>
      <c r="F15" s="59"/>
      <c r="G15" s="60"/>
      <c r="H15" s="60"/>
      <c r="I15" s="60"/>
      <c r="J15" s="60"/>
    </row>
    <row r="16" spans="1:10" ht="27" customHeight="1" thickBot="1">
      <c r="A16" s="296">
        <v>4</v>
      </c>
      <c r="B16" s="421" t="s">
        <v>248</v>
      </c>
      <c r="C16" s="86" t="s">
        <v>76</v>
      </c>
      <c r="D16" s="422">
        <v>20000</v>
      </c>
      <c r="E16" s="423">
        <v>2.16</v>
      </c>
      <c r="F16" s="59"/>
      <c r="G16" s="60"/>
      <c r="H16" s="60"/>
      <c r="I16" s="60"/>
      <c r="J16" s="60"/>
    </row>
    <row r="17" spans="1:10" ht="26.25" customHeight="1" thickBot="1">
      <c r="A17" s="88">
        <v>5</v>
      </c>
      <c r="B17" s="424" t="s">
        <v>249</v>
      </c>
      <c r="C17" s="53" t="s">
        <v>76</v>
      </c>
      <c r="D17" s="227">
        <v>10000</v>
      </c>
      <c r="E17" s="419">
        <f>1.06*1.03</f>
        <v>1.0918</v>
      </c>
      <c r="F17" s="66"/>
      <c r="G17" s="60"/>
      <c r="H17" s="60"/>
      <c r="I17" s="60"/>
      <c r="J17" s="60"/>
    </row>
    <row r="18" spans="1:10" ht="27.75" customHeight="1" thickBot="1">
      <c r="A18" s="61">
        <v>6</v>
      </c>
      <c r="B18" s="421" t="s">
        <v>250</v>
      </c>
      <c r="C18" s="86" t="s">
        <v>76</v>
      </c>
      <c r="D18" s="422">
        <v>150000</v>
      </c>
      <c r="E18" s="423">
        <f>15.76*1.03</f>
        <v>16.2328</v>
      </c>
      <c r="F18" s="66"/>
      <c r="G18" s="60"/>
      <c r="H18" s="60"/>
      <c r="I18" s="60"/>
      <c r="J18" s="60"/>
    </row>
    <row r="19" spans="1:10" ht="25.5" customHeight="1" thickBot="1">
      <c r="A19" s="296">
        <v>7</v>
      </c>
      <c r="B19" s="420" t="s">
        <v>251</v>
      </c>
      <c r="C19" s="53" t="s">
        <v>76</v>
      </c>
      <c r="D19" s="227">
        <v>100000</v>
      </c>
      <c r="E19" s="419">
        <f>10.51*1.03</f>
        <v>10.8253</v>
      </c>
      <c r="F19" s="59"/>
      <c r="G19" s="60"/>
      <c r="H19" s="60"/>
      <c r="I19" s="60"/>
      <c r="J19" s="60"/>
    </row>
    <row r="20" spans="1:10" ht="25.5" customHeight="1" thickBot="1">
      <c r="A20" s="61">
        <v>8</v>
      </c>
      <c r="B20" s="421" t="s">
        <v>252</v>
      </c>
      <c r="C20" s="86" t="s">
        <v>76</v>
      </c>
      <c r="D20" s="422">
        <v>20000</v>
      </c>
      <c r="E20" s="423">
        <v>2.16</v>
      </c>
      <c r="F20" s="59"/>
      <c r="G20" s="60"/>
      <c r="H20" s="60"/>
      <c r="I20" s="60"/>
      <c r="J20" s="60"/>
    </row>
    <row r="21" spans="1:10" ht="24.75" customHeight="1" thickBot="1">
      <c r="A21" s="296">
        <v>9</v>
      </c>
      <c r="B21" s="420" t="s">
        <v>253</v>
      </c>
      <c r="C21" s="53" t="s">
        <v>76</v>
      </c>
      <c r="D21" s="227">
        <v>300000</v>
      </c>
      <c r="E21" s="419">
        <f>31.52*1.03</f>
        <v>32.4656</v>
      </c>
      <c r="F21" s="66"/>
      <c r="G21" s="60"/>
      <c r="H21" s="60"/>
      <c r="I21" s="60"/>
      <c r="J21" s="60"/>
    </row>
    <row r="22" spans="1:10" ht="26.25" customHeight="1" thickBot="1">
      <c r="A22" s="296">
        <v>10</v>
      </c>
      <c r="B22" s="425" t="s">
        <v>63</v>
      </c>
      <c r="C22" s="53" t="s">
        <v>76</v>
      </c>
      <c r="D22" s="426">
        <v>50000</v>
      </c>
      <c r="E22" s="427">
        <f>5.26*1.03</f>
        <v>5.4178</v>
      </c>
      <c r="F22" s="66"/>
      <c r="G22" s="60"/>
      <c r="H22" s="60"/>
      <c r="I22" s="60"/>
      <c r="J22" s="60"/>
    </row>
    <row r="23" spans="1:10" ht="18.75">
      <c r="A23" s="526">
        <v>11</v>
      </c>
      <c r="B23" s="428" t="s">
        <v>254</v>
      </c>
      <c r="C23" s="529" t="s">
        <v>76</v>
      </c>
      <c r="D23" s="429"/>
      <c r="E23" s="713">
        <f>5.02*1.03</f>
        <v>5.170599999999999</v>
      </c>
      <c r="F23" s="66"/>
      <c r="G23" s="60"/>
      <c r="H23" s="60"/>
      <c r="I23" s="60"/>
      <c r="J23" s="60"/>
    </row>
    <row r="24" spans="1:10" ht="15.75" customHeight="1" thickBot="1">
      <c r="A24" s="528"/>
      <c r="B24" s="430" t="s">
        <v>255</v>
      </c>
      <c r="C24" s="531"/>
      <c r="D24" s="141">
        <v>42000</v>
      </c>
      <c r="E24" s="714"/>
      <c r="F24" s="66"/>
      <c r="G24" s="60"/>
      <c r="H24" s="60"/>
      <c r="I24" s="60"/>
      <c r="J24" s="60"/>
    </row>
    <row r="25" spans="1:10" ht="23.25" customHeight="1" thickBot="1">
      <c r="A25" s="296">
        <v>12</v>
      </c>
      <c r="B25" s="420" t="s">
        <v>65</v>
      </c>
      <c r="C25" s="53" t="s">
        <v>76</v>
      </c>
      <c r="D25" s="227">
        <v>105000</v>
      </c>
      <c r="E25" s="419">
        <f>12.56*1.03</f>
        <v>12.936800000000002</v>
      </c>
      <c r="F25" s="66"/>
      <c r="G25" s="60"/>
      <c r="H25" s="60"/>
      <c r="I25" s="60"/>
      <c r="J25" s="60"/>
    </row>
    <row r="26" spans="1:10" ht="23.25" customHeight="1" thickBot="1">
      <c r="A26" s="88">
        <v>13</v>
      </c>
      <c r="B26" s="432" t="s">
        <v>64</v>
      </c>
      <c r="C26" s="89" t="s">
        <v>76</v>
      </c>
      <c r="D26" s="141">
        <v>175000</v>
      </c>
      <c r="E26" s="431">
        <f>18.39*1.03</f>
        <v>18.9417</v>
      </c>
      <c r="F26" s="59"/>
      <c r="G26" s="60"/>
      <c r="H26" s="60"/>
      <c r="I26" s="60"/>
      <c r="J26" s="60"/>
    </row>
    <row r="27" spans="1:10" ht="15.75">
      <c r="A27" s="433"/>
      <c r="B27" s="434"/>
      <c r="C27" s="389"/>
      <c r="D27" s="66"/>
      <c r="E27" s="435"/>
      <c r="F27" s="66"/>
      <c r="G27" s="60"/>
      <c r="H27" s="60"/>
      <c r="I27" s="60"/>
      <c r="J27" s="60"/>
    </row>
    <row r="28" spans="1:10" ht="15.75">
      <c r="A28" s="433"/>
      <c r="B28" s="434"/>
      <c r="C28" s="389"/>
      <c r="D28" s="436"/>
      <c r="E28" s="435"/>
      <c r="F28" s="182"/>
      <c r="G28" s="60"/>
      <c r="H28" s="60"/>
      <c r="I28" s="60"/>
      <c r="J28" s="60"/>
    </row>
    <row r="29" spans="1:10" ht="15.75">
      <c r="A29" s="433"/>
      <c r="B29" s="389"/>
      <c r="C29" s="389"/>
      <c r="D29" s="66"/>
      <c r="E29" s="435"/>
      <c r="F29" s="182"/>
      <c r="G29" s="60"/>
      <c r="H29" s="60"/>
      <c r="I29" s="60"/>
      <c r="J29" s="60"/>
    </row>
    <row r="30" spans="1:10" ht="18.75">
      <c r="A30" s="8" t="s">
        <v>256</v>
      </c>
      <c r="C30" s="389"/>
      <c r="D30" s="66"/>
      <c r="E30" s="437" t="s">
        <v>120</v>
      </c>
      <c r="F30" s="182"/>
      <c r="G30" s="60"/>
      <c r="H30" s="60"/>
      <c r="I30" s="60"/>
      <c r="J30" s="60"/>
    </row>
    <row r="31" spans="1:10" ht="15.75">
      <c r="A31" s="433"/>
      <c r="B31" s="438"/>
      <c r="C31" s="389"/>
      <c r="D31" s="66"/>
      <c r="E31" s="435"/>
      <c r="F31" s="182"/>
      <c r="G31" s="60"/>
      <c r="H31" s="60"/>
      <c r="I31" s="60"/>
      <c r="J31" s="60"/>
    </row>
    <row r="32" spans="1:10" ht="15.75">
      <c r="A32" s="433"/>
      <c r="B32" s="438"/>
      <c r="C32" s="389"/>
      <c r="D32" s="66"/>
      <c r="E32" s="435"/>
      <c r="F32" s="182"/>
      <c r="G32" s="60"/>
      <c r="H32" s="60"/>
      <c r="I32" s="60"/>
      <c r="J32" s="60"/>
    </row>
    <row r="33" spans="1:10" ht="15.75">
      <c r="A33" s="433"/>
      <c r="B33" s="438"/>
      <c r="C33" s="389"/>
      <c r="D33" s="66"/>
      <c r="E33" s="435"/>
      <c r="F33" s="182"/>
      <c r="G33" s="60"/>
      <c r="H33" s="60"/>
      <c r="I33" s="60"/>
      <c r="J33" s="60"/>
    </row>
    <row r="34" spans="1:10" ht="15.75">
      <c r="A34" s="433"/>
      <c r="B34" s="438"/>
      <c r="C34" s="389"/>
      <c r="D34" s="66"/>
      <c r="E34" s="435"/>
      <c r="F34" s="182"/>
      <c r="G34" s="60"/>
      <c r="H34" s="60"/>
      <c r="I34" s="60"/>
      <c r="J34" s="60"/>
    </row>
    <row r="35" spans="1:10" ht="15.75">
      <c r="A35" s="433"/>
      <c r="B35" s="438"/>
      <c r="C35" s="389"/>
      <c r="D35" s="66"/>
      <c r="E35" s="435"/>
      <c r="F35" s="182"/>
      <c r="G35" s="60"/>
      <c r="H35" s="60"/>
      <c r="I35" s="60"/>
      <c r="J35" s="60"/>
    </row>
    <row r="36" spans="1:10" ht="15.75">
      <c r="A36" s="433"/>
      <c r="B36" s="439"/>
      <c r="C36" s="389"/>
      <c r="D36" s="66"/>
      <c r="E36" s="435"/>
      <c r="F36" s="182"/>
      <c r="G36" s="60"/>
      <c r="H36" s="60"/>
      <c r="I36" s="60"/>
      <c r="J36" s="60"/>
    </row>
    <row r="37" spans="1:10" ht="15.75">
      <c r="A37" s="433"/>
      <c r="B37" s="439"/>
      <c r="C37" s="389"/>
      <c r="D37" s="436"/>
      <c r="E37" s="435"/>
      <c r="F37" s="182"/>
      <c r="G37" s="60"/>
      <c r="H37" s="60"/>
      <c r="I37" s="60"/>
      <c r="J37" s="60"/>
    </row>
    <row r="38" spans="1:10" ht="15.75">
      <c r="A38" s="440"/>
      <c r="B38" s="439"/>
      <c r="C38" s="389"/>
      <c r="D38" s="436"/>
      <c r="E38" s="435"/>
      <c r="G38" s="297"/>
      <c r="H38" s="60"/>
      <c r="I38" s="297"/>
      <c r="J38" s="297"/>
    </row>
    <row r="39" spans="1:10" ht="15.75">
      <c r="A39" s="440"/>
      <c r="B39" s="439"/>
      <c r="C39" s="389"/>
      <c r="D39" s="436"/>
      <c r="E39" s="435"/>
      <c r="G39" s="297"/>
      <c r="H39" s="60"/>
      <c r="I39" s="297"/>
      <c r="J39" s="297"/>
    </row>
    <row r="40" spans="1:10" ht="15.75">
      <c r="A40" s="440"/>
      <c r="B40" s="439"/>
      <c r="C40" s="117"/>
      <c r="D40" s="436"/>
      <c r="E40" s="435"/>
      <c r="G40" s="297"/>
      <c r="H40" s="60"/>
      <c r="I40" s="297"/>
      <c r="J40" s="297"/>
    </row>
    <row r="41" spans="1:10" ht="15.75">
      <c r="A41" s="440"/>
      <c r="B41" s="439"/>
      <c r="C41" s="389"/>
      <c r="D41" s="436"/>
      <c r="E41" s="435"/>
      <c r="G41" s="297"/>
      <c r="H41" s="60"/>
      <c r="I41" s="297"/>
      <c r="J41" s="297"/>
    </row>
    <row r="42" spans="1:10" ht="15.75">
      <c r="A42" s="440"/>
      <c r="B42" s="439"/>
      <c r="C42" s="389"/>
      <c r="D42" s="436"/>
      <c r="E42" s="435"/>
      <c r="G42" s="297"/>
      <c r="H42" s="60"/>
      <c r="I42" s="297"/>
      <c r="J42" s="297"/>
    </row>
    <row r="43" spans="1:10" ht="15.75">
      <c r="A43" s="440"/>
      <c r="B43" s="439"/>
      <c r="C43" s="389"/>
      <c r="D43" s="117"/>
      <c r="E43" s="435"/>
      <c r="G43" s="297"/>
      <c r="H43" s="60"/>
      <c r="I43" s="297"/>
      <c r="J43" s="297"/>
    </row>
    <row r="44" spans="1:10" ht="15.75">
      <c r="A44" s="440"/>
      <c r="B44" s="439"/>
      <c r="C44" s="389"/>
      <c r="D44" s="117"/>
      <c r="E44" s="435"/>
      <c r="G44" s="297"/>
      <c r="H44" s="60"/>
      <c r="I44" s="297"/>
      <c r="J44" s="297"/>
    </row>
  </sheetData>
  <sheetProtection/>
  <mergeCells count="14">
    <mergeCell ref="A7:E7"/>
    <mergeCell ref="A8:E8"/>
    <mergeCell ref="A9:E9"/>
    <mergeCell ref="A10:A13"/>
    <mergeCell ref="B10:B13"/>
    <mergeCell ref="C10:C13"/>
    <mergeCell ref="D10:E11"/>
    <mergeCell ref="G10:J10"/>
    <mergeCell ref="D12:E12"/>
    <mergeCell ref="D13:E13"/>
    <mergeCell ref="G13:J13"/>
    <mergeCell ref="A23:A24"/>
    <mergeCell ref="C23:C24"/>
    <mergeCell ref="E23:E24"/>
  </mergeCells>
  <printOptions/>
  <pageMargins left="0.75" right="0.75" top="1" bottom="1" header="0.5" footer="0.5"/>
  <pageSetup horizontalDpi="600" verticalDpi="600" orientation="portrait" paperSize="9" scale="71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33.00390625" style="0" customWidth="1"/>
    <col min="3" max="3" width="36.625" style="0" customWidth="1"/>
  </cols>
  <sheetData>
    <row r="2" spans="1:8" ht="12.75">
      <c r="A2" s="720" t="s">
        <v>79</v>
      </c>
      <c r="B2" s="720"/>
      <c r="C2" s="720"/>
      <c r="D2" s="14"/>
      <c r="E2" s="14"/>
      <c r="F2" s="14"/>
      <c r="G2" s="14"/>
      <c r="H2" s="14"/>
    </row>
    <row r="3" spans="1:8" ht="12.75">
      <c r="A3" s="720" t="s">
        <v>80</v>
      </c>
      <c r="B3" s="720"/>
      <c r="C3" s="720"/>
      <c r="D3" s="14"/>
      <c r="E3" s="14"/>
      <c r="F3" s="14"/>
      <c r="G3" s="14"/>
      <c r="H3" s="14"/>
    </row>
    <row r="4" spans="1:8" ht="12.75">
      <c r="A4" s="720" t="s">
        <v>81</v>
      </c>
      <c r="B4" s="720"/>
      <c r="C4" s="720"/>
      <c r="D4" s="14"/>
      <c r="E4" s="14"/>
      <c r="F4" s="14"/>
      <c r="G4" s="14"/>
      <c r="H4" s="14"/>
    </row>
    <row r="5" spans="1:8" ht="13.5" thickBot="1">
      <c r="A5" s="9"/>
      <c r="B5" s="2"/>
      <c r="C5" s="2"/>
      <c r="D5" s="2"/>
      <c r="E5" s="2"/>
      <c r="F5" s="2"/>
      <c r="G5" s="2"/>
      <c r="H5" s="2"/>
    </row>
    <row r="6" spans="1:8" ht="39" thickBot="1">
      <c r="A6" s="10" t="s">
        <v>82</v>
      </c>
      <c r="B6" s="11" t="s">
        <v>83</v>
      </c>
      <c r="C6" s="11" t="s">
        <v>84</v>
      </c>
      <c r="D6" s="2"/>
      <c r="E6" s="2"/>
      <c r="F6" s="2"/>
      <c r="G6" s="2"/>
      <c r="H6" s="2"/>
    </row>
    <row r="7" spans="1:8" ht="39" thickBot="1">
      <c r="A7" s="12" t="s">
        <v>85</v>
      </c>
      <c r="B7" s="13" t="s">
        <v>86</v>
      </c>
      <c r="C7" s="13" t="s">
        <v>87</v>
      </c>
      <c r="D7" s="2"/>
      <c r="E7" s="2"/>
      <c r="F7" s="2"/>
      <c r="G7" s="2"/>
      <c r="H7" s="2"/>
    </row>
    <row r="8" ht="18.75">
      <c r="A8" s="8"/>
    </row>
    <row r="9" spans="1:3" ht="15.75">
      <c r="A9" s="15" t="s">
        <v>333</v>
      </c>
      <c r="B9" s="15"/>
      <c r="C9" s="15"/>
    </row>
    <row r="10" ht="15.75">
      <c r="A10" s="1" t="s">
        <v>332</v>
      </c>
    </row>
  </sheetData>
  <sheetProtection/>
  <mergeCells count="3"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PC_19</cp:lastModifiedBy>
  <cp:lastPrinted>2012-12-04T13:04:36Z</cp:lastPrinted>
  <dcterms:created xsi:type="dcterms:W3CDTF">2008-11-10T07:09:12Z</dcterms:created>
  <dcterms:modified xsi:type="dcterms:W3CDTF">2020-03-27T09:24:42Z</dcterms:modified>
  <cp:category/>
  <cp:version/>
  <cp:contentType/>
  <cp:contentStatus/>
</cp:coreProperties>
</file>